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klicek\Desktop\FINANCIJSKI PLAN 2024.-2026\FINALNO za Senat_prosinac 2023\FINANCIJSKI PLAN 2024.-2026\Za usnimavanja u poveznicu_MZO\"/>
    </mc:Choice>
  </mc:AlternateContent>
  <xr:revisionPtr revIDLastSave="0" documentId="13_ncr:1_{CB2898F5-D95E-43EE-9415-AD453B384C1A}" xr6:coauthVersionLast="37" xr6:coauthVersionMax="37" xr10:uidLastSave="{00000000-0000-0000-0000-000000000000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8800" windowHeight="10425" firstSheet="4" activeTab="9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8">'B.1 RAČUN FINANC EK'!$A$1:$H$22</definedName>
    <definedName name="_xlnm.Print_Area" localSheetId="9">'B.2 RAČUN FINANC IF'!$A$1:$Y$24</definedName>
    <definedName name="_xlnm.Print_Area" localSheetId="13">'KORISNICI DP'!$A$1:$H$615</definedName>
    <definedName name="_xlnm.Print_Area" localSheetId="0">'OPĆI DIO'!$A$1:$G$35</definedName>
    <definedName name="_xlnm.Print_Area" localSheetId="1">'Unos prihoda i primitaka'!$A$1:$M$42</definedName>
    <definedName name="_xlnm.Print_Area" localSheetId="2">'Unos rashoda i izdataka'!$A$1:$S$130</definedName>
    <definedName name="_xlnm.Print_Area" localSheetId="3">'Unos rashoda P4'!$A$1:$P$46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79021"/>
</workbook>
</file>

<file path=xl/calcChain.xml><?xml version="1.0" encoding="utf-8"?>
<calcChain xmlns="http://schemas.openxmlformats.org/spreadsheetml/2006/main">
  <c r="J23" i="17" l="1"/>
  <c r="J91" i="17" l="1"/>
  <c r="J92" i="17"/>
  <c r="L77" i="17" l="1"/>
  <c r="K77" i="17"/>
  <c r="J93" i="17" l="1"/>
  <c r="D51" i="36" l="1"/>
  <c r="D41" i="36"/>
  <c r="D38" i="36"/>
  <c r="D32" i="36"/>
  <c r="D10" i="36"/>
  <c r="D29" i="36"/>
  <c r="D26" i="36"/>
  <c r="D16" i="36"/>
  <c r="D7" i="36"/>
  <c r="E29" i="35"/>
  <c r="E37" i="35"/>
  <c r="E36" i="35"/>
  <c r="E34" i="35"/>
  <c r="E33" i="35"/>
  <c r="E28" i="35"/>
  <c r="E16" i="35" l="1"/>
  <c r="E13" i="35"/>
  <c r="E21" i="35"/>
  <c r="E14" i="35"/>
  <c r="E17" i="35"/>
  <c r="C32" i="36"/>
  <c r="C7" i="36"/>
  <c r="C51" i="36"/>
  <c r="C41" i="36"/>
  <c r="D37" i="35"/>
  <c r="D36" i="35"/>
  <c r="D34" i="35"/>
  <c r="D33" i="35"/>
  <c r="D30" i="35"/>
  <c r="D29" i="35"/>
  <c r="D28" i="35"/>
  <c r="D17" i="35"/>
  <c r="D14" i="35"/>
  <c r="D16" i="35"/>
  <c r="D13" i="35"/>
  <c r="C15" i="12"/>
  <c r="K102" i="17" l="1"/>
  <c r="J102" i="17"/>
  <c r="L102" i="17"/>
  <c r="J111" i="17"/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D11" i="35"/>
  <c r="E26" i="35" l="1"/>
  <c r="E10" i="35"/>
  <c r="D10" i="35"/>
  <c r="D26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F7" i="38" l="1"/>
  <c r="F13" i="36" s="1"/>
  <c r="I14" i="34" s="1"/>
  <c r="G7" i="38"/>
  <c r="G13" i="36" s="1"/>
  <c r="I22" i="34" s="1"/>
  <c r="E7" i="38"/>
  <c r="G19" i="35"/>
  <c r="F16" i="12" s="1"/>
  <c r="F19" i="35"/>
  <c r="E16" i="12" s="1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E27" i="12" s="1"/>
  <c r="E30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<sst xmlns="http://schemas.openxmlformats.org/spreadsheetml/2006/main" count="13796" uniqueCount="4855">
  <si>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</si>
  <si>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</si>
  <si>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</si>
  <si>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</si>
  <si>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</si>
  <si>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</si>
  <si>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</si>
  <si>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</si>
  <si>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</si>
  <si>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</si>
  <si>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</si>
  <si>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</si>
  <si>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</si>
  <si>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</si>
  <si>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</si>
  <si>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</si>
  <si>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</si>
  <si>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</si>
  <si>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</si>
  <si>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</si>
  <si>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</si>
  <si>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</si>
  <si>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</si>
  <si>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</si>
  <si>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</si>
  <si>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</si>
  <si>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</si>
  <si>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</si>
  <si>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</si>
  <si>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</si>
  <si>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</si>
  <si>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</si>
  <si>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</si>
  <si>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</si>
  <si>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</si>
  <si>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</si>
  <si>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</si>
  <si>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</si>
  <si>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</si>
  <si>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</si>
  <si>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</si>
  <si>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</si>
  <si>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</si>
  <si>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</si>
  <si>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</si>
  <si>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</si>
  <si>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</si>
  <si>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</si>
  <si>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</si>
  <si>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</si>
  <si>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</si>
  <si>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</si>
  <si>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</si>
  <si>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</si>
  <si>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</si>
  <si>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</si>
  <si>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</si>
  <si>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</si>
  <si>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</si>
  <si>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</si>
  <si>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</si>
  <si>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</si>
  <si>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</si>
  <si>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</si>
  <si>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</si>
  <si>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</si>
  <si>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</si>
  <si>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</si>
  <si>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</si>
  <si>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</si>
  <si>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</si>
  <si>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</si>
  <si>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</si>
  <si>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</si>
  <si>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</si>
  <si>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</si>
  <si>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</si>
  <si>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</si>
  <si>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</si>
  <si>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</si>
  <si>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</si>
  <si>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</si>
  <si>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</si>
  <si>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</si>
  <si>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</si>
  <si>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</si>
  <si>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</si>
  <si>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</si>
  <si>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</si>
  <si>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</si>
  <si>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</si>
  <si>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</si>
  <si>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</si>
  <si>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</si>
  <si>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</si>
  <si>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</si>
  <si>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</si>
  <si>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</si>
  <si>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</si>
  <si>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</si>
  <si>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</si>
  <si>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</si>
  <si>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</si>
  <si>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</si>
  <si>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</si>
  <si>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</si>
  <si>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</si>
  <si>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</si>
  <si>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</si>
  <si>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</si>
  <si>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</si>
  <si>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</si>
  <si>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</si>
  <si>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</si>
  <si>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</si>
  <si>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</si>
  <si>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</si>
  <si>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</si>
  <si>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</si>
  <si>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</si>
  <si>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</si>
  <si>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</si>
  <si>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</si>
  <si>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</si>
  <si>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</si>
  <si>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</si>
  <si>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</si>
  <si>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</si>
  <si>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</si>
  <si>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</si>
  <si>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</si>
  <si>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</si>
  <si>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</si>
  <si>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</si>
  <si>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</si>
  <si>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</si>
  <si>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</si>
  <si>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</si>
  <si>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</si>
  <si>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</si>
  <si>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</si>
  <si>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</si>
  <si>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</si>
  <si>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</si>
  <si>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</si>
  <si>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</si>
  <si>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</si>
  <si>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</si>
  <si>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</si>
  <si>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</si>
  <si>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</si>
  <si>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</si>
  <si>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</si>
  <si>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</si>
  <si>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</si>
  <si>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</si>
  <si>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</si>
  <si>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</si>
  <si>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</si>
  <si>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</si>
  <si>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</si>
  <si>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</si>
  <si>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</si>
  <si>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</si>
  <si>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</si>
  <si>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</si>
  <si>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</si>
  <si>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</si>
  <si>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</si>
  <si>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</si>
  <si>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</si>
  <si>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</si>
  <si>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</si>
  <si>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</si>
  <si>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</si>
  <si>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</si>
  <si>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</si>
  <si>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</si>
  <si>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</si>
  <si>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</si>
  <si>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</si>
  <si>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</si>
  <si>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</si>
  <si>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</si>
  <si>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</si>
  <si>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</si>
  <si>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</si>
  <si>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</si>
  <si>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</si>
  <si>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</si>
  <si>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</si>
  <si>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</si>
  <si>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</si>
  <si>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</si>
  <si>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</si>
  <si>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</si>
  <si>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</si>
  <si>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</si>
  <si>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</si>
  <si>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</si>
  <si>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</si>
  <si>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</si>
  <si>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</si>
  <si>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</si>
  <si>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</si>
  <si>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</si>
  <si>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</si>
  <si>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</si>
  <si>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</si>
  <si>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</si>
  <si>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</si>
  <si>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</si>
  <si>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</si>
  <si>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</si>
  <si>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</si>
  <si>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</si>
  <si>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</si>
  <si>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</si>
  <si>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</si>
  <si>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</si>
  <si>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</si>
  <si>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</si>
  <si>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</si>
  <si>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</si>
  <si>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</si>
  <si>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</si>
  <si>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</si>
  <si>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</si>
  <si>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</si>
  <si>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</si>
  <si>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</si>
  <si>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</si>
  <si>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</si>
  <si>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</si>
  <si>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</si>
  <si>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</si>
  <si>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</si>
  <si>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</si>
  <si>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</si>
  <si>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</si>
  <si>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</si>
  <si>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</si>
  <si>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</si>
  <si>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</si>
  <si>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</si>
  <si>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</si>
  <si>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</si>
  <si>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</si>
  <si>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</si>
  <si>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</si>
  <si>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</si>
  <si>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</si>
  <si>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</si>
  <si>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</si>
  <si>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</si>
  <si>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</si>
  <si>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</si>
  <si>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</si>
  <si>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</si>
  <si>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</si>
  <si>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</si>
  <si>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</si>
  <si>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</si>
  <si>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</si>
  <si>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</si>
  <si>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</si>
  <si>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</si>
  <si>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</si>
  <si>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</si>
  <si>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</si>
  <si>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</si>
  <si>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</si>
  <si>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</si>
  <si>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</si>
  <si>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</si>
  <si>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</si>
  <si>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</si>
  <si>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</si>
  <si>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</si>
  <si>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</si>
  <si>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</si>
  <si>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</si>
  <si>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</si>
  <si>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</si>
  <si>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</si>
  <si>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</si>
  <si>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</si>
  <si>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</si>
  <si>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</si>
  <si>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</si>
  <si>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</si>
  <si>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</si>
  <si>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</si>
  <si>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</si>
  <si>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</si>
  <si>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</si>
  <si>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</si>
  <si>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</si>
  <si>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</si>
  <si>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</si>
  <si>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</si>
  <si>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</si>
  <si>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</si>
  <si>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</si>
  <si>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</si>
  <si>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</si>
  <si>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</si>
  <si>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</si>
  <si>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</si>
  <si>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</si>
  <si>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</si>
  <si>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</si>
  <si>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</si>
  <si>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</si>
  <si>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</si>
  <si>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</si>
  <si>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</si>
  <si>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</si>
  <si>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</si>
  <si>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</si>
  <si>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</si>
  <si>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</si>
  <si>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</si>
  <si>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</si>
  <si>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</si>
  <si>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</si>
  <si>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</si>
  <si>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</si>
  <si>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</si>
  <si>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</si>
  <si>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</si>
  <si>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</si>
  <si>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</si>
  <si>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</si>
  <si>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</si>
  <si>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</si>
  <si>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</si>
  <si>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</si>
  <si>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</si>
  <si>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</si>
  <si>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</si>
  <si>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</si>
  <si>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</si>
  <si>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</si>
  <si>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</si>
  <si>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</si>
  <si>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</si>
  <si>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</si>
  <si>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</si>
  <si>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</si>
  <si>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</si>
  <si>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</si>
  <si>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</si>
  <si>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</si>
  <si>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</si>
  <si>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</si>
  <si>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</si>
  <si>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</si>
  <si>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</si>
  <si>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</si>
  <si>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</si>
  <si>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</si>
  <si>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</si>
  <si>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</si>
  <si>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</si>
  <si>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</si>
  <si>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</si>
  <si>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</si>
  <si>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</si>
  <si>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</si>
  <si>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</si>
  <si>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</si>
  <si>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</si>
  <si>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</si>
  <si>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</si>
  <si>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</si>
  <si>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</si>
  <si>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</si>
  <si>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</si>
  <si>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</si>
  <si>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</si>
  <si>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</si>
  <si>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</si>
  <si>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</si>
  <si>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</si>
  <si>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</si>
  <si>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</si>
  <si>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</si>
  <si>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</si>
  <si>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</si>
  <si>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</si>
  <si>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</si>
  <si>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</si>
  <si>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</si>
  <si>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</si>
  <si>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</si>
  <si>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</si>
  <si>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</si>
  <si>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</si>
  <si>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</si>
  <si>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</si>
  <si>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</si>
  <si>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</si>
  <si>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</si>
  <si>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</si>
  <si>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</si>
  <si>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</si>
  <si>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</si>
  <si>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</si>
  <si>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</si>
  <si>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</si>
  <si>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</si>
  <si>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</si>
  <si>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</si>
  <si>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</si>
  <si>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</si>
  <si>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</si>
  <si>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</si>
  <si>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</si>
  <si>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</si>
  <si>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</si>
  <si>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</si>
  <si>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</si>
  <si>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</si>
  <si>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</si>
  <si>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</si>
  <si>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</si>
  <si>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</si>
  <si>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</si>
  <si>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</si>
  <si>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</si>
  <si>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</si>
  <si>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</si>
  <si>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</si>
  <si>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</si>
  <si>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</si>
  <si>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</si>
  <si>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</si>
  <si>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</si>
  <si>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</si>
  <si>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</si>
  <si>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</si>
  <si>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</si>
  <si>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</si>
  <si>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</si>
  <si>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</si>
  <si>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</si>
  <si>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</si>
  <si>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</si>
  <si>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</si>
  <si>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</si>
  <si>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</si>
  <si>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</si>
  <si>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</si>
  <si>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</si>
  <si>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</si>
  <si>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</si>
  <si>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</si>
  <si>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</si>
  <si>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</si>
  <si>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</si>
  <si>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</si>
  <si>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</si>
  <si>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</si>
  <si>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</si>
  <si>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</si>
  <si>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</si>
  <si>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</si>
  <si>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</si>
  <si>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</si>
  <si>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</si>
  <si>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</si>
  <si>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</si>
  <si>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</si>
  <si>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</si>
  <si>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</si>
  <si>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</si>
  <si>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</si>
  <si>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</si>
  <si>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</si>
  <si>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</si>
  <si>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</si>
  <si>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</si>
  <si>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</si>
  <si>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</si>
  <si>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</si>
  <si>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</si>
  <si>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</si>
  <si>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</si>
  <si>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</si>
  <si>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</si>
  <si>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</si>
  <si>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</si>
  <si>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</si>
  <si>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</si>
  <si>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</si>
  <si>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</si>
  <si>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</si>
  <si>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</si>
  <si>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</si>
  <si>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</si>
  <si>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</si>
  <si>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</si>
  <si>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</si>
  <si>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</si>
  <si>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</si>
  <si>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</si>
  <si>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</si>
  <si>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</si>
  <si>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</si>
  <si>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</si>
  <si>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</si>
  <si>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</si>
  <si>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</si>
  <si>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</si>
  <si>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</si>
  <si>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</si>
  <si>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</si>
  <si>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</si>
  <si>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</si>
  <si>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</si>
  <si>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</si>
  <si>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</si>
  <si>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</si>
  <si>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</si>
  <si>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</si>
  <si>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</si>
  <si>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</si>
  <si>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</si>
  <si>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</si>
  <si>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</si>
  <si>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</si>
  <si>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</si>
  <si>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</si>
  <si>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</si>
  <si>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</si>
  <si>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</si>
  <si>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</si>
  <si>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</si>
  <si>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</si>
  <si>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</si>
  <si>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</si>
  <si>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</si>
  <si>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</si>
  <si>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</si>
  <si>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</si>
  <si>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</si>
  <si>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</si>
  <si>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</si>
  <si>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</si>
  <si>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</si>
  <si>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</si>
  <si>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</si>
  <si>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</si>
  <si>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</si>
  <si>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</si>
  <si>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</si>
  <si>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</si>
  <si>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</si>
  <si>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</si>
  <si>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</si>
  <si>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</si>
  <si>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</si>
  <si>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</si>
  <si>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</si>
  <si>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</si>
  <si>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</si>
  <si>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</si>
  <si>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</si>
  <si>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</si>
  <si>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</si>
  <si>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</si>
  <si>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</si>
  <si>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</si>
  <si>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</si>
  <si>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</si>
  <si>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</si>
  <si>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</si>
  <si>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</si>
  <si>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</si>
  <si>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</si>
  <si>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</si>
  <si>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</si>
  <si>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</si>
  <si>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</si>
  <si>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</si>
  <si>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</si>
  <si>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</si>
  <si>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</si>
  <si>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</si>
  <si>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</si>
  <si>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</si>
  <si>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</si>
  <si>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</si>
  <si>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</si>
  <si>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</si>
  <si>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</si>
  <si>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</si>
  <si>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</si>
  <si>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</si>
  <si>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</si>
  <si>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</si>
  <si>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</si>
  <si>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</si>
  <si>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</si>
  <si>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</si>
  <si>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</si>
  <si>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</si>
  <si>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</si>
  <si>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</si>
  <si>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</si>
  <si>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</si>
  <si>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</si>
  <si>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</si>
  <si>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</si>
  <si>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</si>
  <si>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</si>
  <si>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</si>
  <si>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</si>
  <si>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</si>
  <si>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</si>
  <si>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</si>
  <si>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</si>
  <si>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</si>
  <si>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</si>
  <si>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</si>
  <si>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</si>
  <si>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</si>
  <si>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</si>
  <si>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</si>
  <si>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</si>
  <si>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</si>
  <si>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</si>
  <si>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</si>
  <si>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</si>
  <si>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</si>
  <si>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</si>
  <si>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</si>
  <si>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</si>
  <si>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</si>
  <si>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</si>
  <si>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</si>
  <si>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</si>
  <si>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</si>
  <si>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</si>
  <si>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</si>
  <si>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</si>
  <si>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</si>
  <si>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</si>
  <si>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</si>
  <si>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</si>
  <si>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</si>
  <si>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</si>
  <si>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</si>
  <si>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</si>
  <si>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</si>
  <si>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</si>
  <si>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</si>
  <si>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</si>
  <si>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</si>
  <si>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</si>
  <si>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</si>
  <si>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</si>
  <si>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</si>
  <si>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</si>
  <si>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</si>
  <si>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</si>
  <si>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</si>
  <si>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</si>
  <si>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</si>
  <si>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</si>
  <si>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</si>
  <si>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</si>
  <si>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</si>
  <si>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</si>
  <si>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</si>
  <si>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</si>
  <si>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</si>
  <si>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</si>
  <si>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</si>
  <si>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</si>
  <si>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</si>
  <si>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</si>
  <si>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</si>
  <si>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</si>
  <si>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</si>
  <si>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</si>
  <si>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</si>
  <si>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</si>
  <si>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</si>
  <si>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</si>
  <si>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</si>
  <si>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</si>
  <si>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</si>
  <si>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</si>
  <si>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</si>
  <si>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</si>
  <si>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</si>
  <si>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</si>
  <si>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</si>
  <si>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</si>
  <si>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</si>
  <si>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</si>
  <si>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</si>
  <si>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</si>
  <si>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</si>
  <si>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</si>
  <si>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</si>
  <si>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</si>
  <si>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</si>
  <si>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</si>
  <si>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</si>
  <si>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</si>
  <si>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</si>
  <si>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</si>
  <si>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</si>
  <si>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</si>
  <si>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</si>
  <si>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</si>
  <si>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</si>
  <si>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</si>
  <si>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</si>
  <si>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</si>
  <si>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</si>
  <si>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</si>
  <si>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</si>
  <si>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</si>
  <si>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</si>
  <si>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</si>
  <si>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</si>
  <si>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</si>
  <si>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</si>
  <si>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</si>
  <si>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</si>
  <si>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</si>
  <si>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</si>
  <si>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</si>
  <si>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</si>
  <si>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</si>
  <si>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</si>
  <si>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</si>
  <si>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</si>
  <si>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</si>
  <si>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</si>
  <si>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</si>
  <si>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</si>
  <si>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</si>
  <si>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</si>
  <si>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</si>
  <si>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</si>
  <si>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</si>
  <si>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</si>
  <si>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</si>
  <si>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</si>
  <si>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</si>
  <si>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</si>
  <si>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</si>
  <si>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</si>
  <si>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</si>
  <si>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</si>
  <si>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</si>
  <si>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</si>
  <si>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</si>
  <si>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</si>
  <si>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</si>
  <si>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</si>
  <si>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</si>
  <si>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</si>
  <si>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</si>
  <si>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</si>
  <si>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</si>
  <si>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</si>
  <si>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</si>
  <si>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</si>
  <si>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</si>
  <si>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</si>
  <si>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</si>
  <si>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</si>
  <si>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</si>
  <si>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</si>
  <si>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</si>
  <si>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</si>
  <si>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</si>
  <si>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</si>
  <si>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</si>
  <si>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</si>
  <si>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</si>
  <si>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</si>
  <si>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</si>
  <si>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</si>
  <si>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</si>
  <si>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</si>
  <si>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</si>
  <si>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</si>
  <si>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</si>
  <si>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</si>
  <si>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</si>
  <si>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</si>
  <si>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</si>
  <si>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</si>
  <si>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</si>
  <si>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</si>
  <si>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</si>
  <si>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</si>
  <si>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</si>
  <si>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</si>
  <si>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</si>
  <si>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</si>
  <si>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</si>
  <si>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</si>
  <si>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</si>
  <si>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</si>
  <si>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</si>
  <si>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</si>
  <si>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</si>
  <si>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</si>
  <si>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</si>
  <si>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</si>
  <si>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</si>
  <si>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</si>
  <si>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</si>
  <si>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</si>
  <si>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</si>
  <si>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</si>
  <si>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</si>
  <si>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</si>
  <si>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</si>
  <si>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</si>
  <si>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</si>
  <si>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</si>
  <si>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</si>
  <si>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</si>
  <si>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</si>
  <si>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</si>
  <si>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</si>
  <si>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</si>
  <si>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</si>
  <si>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</si>
  <si>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</si>
  <si>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</si>
  <si>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</si>
  <si>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</si>
  <si>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</si>
  <si>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</si>
  <si>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</si>
  <si>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</si>
  <si>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</si>
  <si>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</si>
  <si>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</si>
  <si>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</si>
  <si>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</si>
  <si>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</si>
  <si>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</si>
  <si>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</si>
  <si>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</si>
  <si>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</si>
  <si>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</si>
  <si>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</si>
  <si>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</si>
  <si>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</si>
  <si>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</si>
  <si>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</si>
  <si>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</si>
  <si>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</si>
  <si>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</si>
  <si>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</si>
  <si>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</si>
  <si>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</si>
  <si>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</si>
  <si>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</si>
  <si>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</si>
  <si>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</si>
  <si>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</si>
  <si>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</si>
  <si>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</si>
  <si>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</si>
  <si>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</si>
  <si>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</si>
  <si>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</si>
  <si>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</si>
  <si>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</si>
  <si>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</si>
  <si>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</si>
  <si>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</si>
  <si>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</si>
  <si>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</si>
  <si>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</si>
  <si>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</si>
  <si>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</si>
  <si>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</si>
  <si>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</si>
  <si>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</si>
  <si>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</si>
  <si>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</si>
  <si>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</si>
  <si>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</si>
  <si>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</si>
  <si>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</si>
  <si>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</si>
  <si>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</si>
  <si>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</si>
  <si>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</si>
  <si>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</si>
  <si>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</si>
  <si>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</si>
  <si>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</si>
  <si>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</si>
  <si>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</si>
  <si>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</si>
  <si>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</si>
  <si>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</si>
  <si>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</si>
  <si>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</si>
  <si>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</si>
  <si>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</si>
  <si>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</si>
  <si>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</si>
  <si>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</si>
  <si>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</si>
  <si>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</si>
  <si>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</si>
  <si>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</si>
  <si>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</si>
  <si>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</si>
  <si>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</si>
  <si>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</si>
  <si>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</si>
  <si>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</si>
  <si>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</si>
  <si>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</si>
  <si>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</si>
  <si>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</si>
  <si>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</si>
  <si>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</si>
  <si>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</si>
  <si>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</si>
  <si>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</si>
  <si>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</si>
  <si>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</si>
  <si>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</si>
  <si>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</si>
  <si>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</si>
  <si>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</si>
  <si>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</si>
  <si>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</si>
  <si>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</si>
  <si>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</si>
  <si>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</si>
  <si>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</si>
  <si>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</si>
  <si>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</si>
  <si>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</si>
  <si>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</si>
  <si>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</si>
  <si>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</si>
  <si>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</si>
  <si>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</si>
  <si>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</si>
  <si>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</si>
  <si>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</si>
  <si>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</si>
  <si>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</si>
  <si>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</si>
  <si>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</si>
  <si>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</si>
  <si>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</si>
  <si>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</si>
  <si>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</si>
  <si>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</si>
  <si>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</si>
  <si>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</si>
  <si>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</si>
  <si>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</si>
  <si>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</si>
  <si>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</si>
  <si>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</si>
  <si>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</si>
  <si>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</si>
  <si>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</si>
  <si>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</si>
  <si>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</si>
  <si>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</si>
  <si>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</si>
  <si>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</si>
  <si>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</si>
  <si>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</si>
  <si>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</si>
  <si>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</si>
  <si>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</si>
  <si>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</si>
  <si>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</si>
  <si>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</si>
  <si>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</si>
  <si>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</si>
  <si>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</si>
  <si>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</si>
  <si>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</si>
  <si>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</si>
  <si>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</si>
  <si>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</si>
  <si>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</si>
  <si>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</si>
  <si>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</si>
  <si>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</si>
  <si>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</si>
  <si>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</si>
  <si>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</si>
  <si>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</si>
  <si>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</si>
  <si>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</si>
  <si>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</si>
  <si>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</si>
  <si>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</si>
  <si>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</si>
  <si>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</si>
  <si>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</si>
  <si>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</si>
  <si>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</si>
  <si>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</si>
  <si>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</si>
  <si>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</si>
  <si>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</si>
  <si>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</si>
  <si>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</si>
  <si>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</si>
  <si>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</si>
  <si>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</si>
  <si>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</si>
  <si>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</si>
  <si>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</si>
  <si>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</si>
  <si>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</si>
  <si>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</si>
  <si>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</si>
  <si>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</si>
  <si>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</si>
  <si>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</si>
  <si>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</si>
  <si>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</si>
  <si>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</si>
  <si>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</si>
  <si>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</si>
  <si>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</si>
  <si>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</si>
  <si>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</si>
  <si>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</si>
  <si>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</si>
  <si>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</si>
  <si>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</si>
  <si>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</si>
  <si>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</si>
  <si>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</si>
  <si>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</si>
  <si>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</si>
  <si>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</si>
  <si>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</si>
  <si>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</si>
  <si>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</si>
  <si>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</si>
  <si>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</si>
  <si>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</si>
  <si>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</si>
  <si>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</si>
  <si>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</si>
  <si>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</si>
  <si>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</si>
  <si>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</si>
  <si>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</si>
  <si>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</si>
  <si>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</si>
  <si>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</si>
  <si>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</si>
  <si>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</si>
  <si>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</si>
  <si>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</si>
  <si>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</si>
  <si>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</si>
  <si>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</si>
  <si>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</si>
  <si>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</si>
  <si>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</si>
  <si>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</si>
  <si>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</si>
  <si>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</si>
  <si>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</si>
  <si>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</si>
  <si>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</si>
  <si>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</si>
  <si>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</si>
  <si>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</si>
  <si>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</si>
  <si>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</si>
  <si>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</si>
  <si>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</si>
  <si>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</si>
  <si>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</si>
  <si>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</si>
  <si>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</si>
  <si>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</si>
  <si>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</si>
  <si>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</si>
  <si>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</si>
  <si>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</si>
  <si>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</si>
  <si>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</si>
  <si>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</si>
  <si>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</si>
  <si>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</si>
  <si>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</si>
  <si>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</si>
  <si>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</si>
  <si>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</si>
  <si>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</si>
  <si>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</si>
  <si>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</si>
  <si>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</si>
  <si>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</si>
  <si>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</si>
  <si>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</si>
  <si>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</si>
  <si>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</si>
  <si>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</si>
  <si>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</si>
  <si>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</si>
  <si>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</si>
  <si>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</si>
  <si>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</si>
  <si>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</si>
  <si>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</si>
  <si>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</si>
  <si>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</si>
  <si>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</si>
  <si>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</si>
  <si>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</si>
  <si>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</si>
  <si>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</si>
  <si>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</si>
  <si>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</si>
  <si>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</si>
  <si>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</si>
  <si>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</si>
  <si>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</si>
  <si>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</si>
  <si>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</si>
  <si>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</si>
  <si>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</si>
  <si>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</si>
  <si>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</si>
  <si>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</si>
  <si>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</si>
  <si>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</si>
  <si>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</si>
  <si>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</si>
  <si>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</si>
  <si>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</si>
  <si>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</si>
  <si>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</si>
  <si>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</si>
  <si>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</si>
  <si>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</si>
  <si>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</si>
  <si>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</si>
  <si>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</si>
  <si>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</si>
  <si>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</si>
  <si>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</si>
  <si>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</si>
  <si>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</si>
  <si>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</si>
  <si>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</si>
  <si>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</si>
  <si>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</si>
  <si>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</si>
  <si>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</si>
  <si>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</si>
  <si>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</si>
  <si>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</si>
  <si>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</si>
  <si>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</si>
  <si>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</si>
  <si>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</si>
  <si>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</si>
  <si>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</si>
  <si>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</si>
  <si>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</si>
  <si>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</si>
  <si>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</si>
  <si>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</si>
  <si>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</si>
  <si>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</si>
  <si>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</si>
  <si>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</si>
  <si>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</si>
  <si>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</si>
  <si>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</si>
  <si>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</si>
  <si>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</si>
  <si>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</si>
  <si>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</si>
  <si>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</si>
  <si>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</si>
  <si>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</si>
  <si>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</si>
  <si>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</si>
  <si>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</si>
  <si>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</si>
  <si>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</si>
  <si>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</si>
  <si>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</si>
  <si>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</si>
  <si>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</si>
  <si>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</si>
  <si>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</si>
  <si>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</si>
  <si>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</si>
  <si>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</si>
  <si>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</si>
  <si>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</si>
  <si>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</si>
  <si>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</si>
  <si>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</si>
  <si>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</si>
  <si>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</si>
  <si>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</si>
  <si>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</si>
  <si>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</si>
  <si>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</si>
  <si>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</si>
  <si>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</si>
  <si>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</si>
  <si>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</si>
  <si>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</si>
  <si>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</si>
  <si>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</si>
  <si>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</si>
  <si>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</si>
  <si>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</si>
  <si>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</si>
  <si>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</si>
  <si>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</si>
  <si>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</si>
  <si>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</si>
  <si>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</si>
  <si>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</si>
  <si>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</si>
  <si>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</si>
  <si>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</si>
  <si>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</si>
  <si>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</si>
  <si>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</si>
  <si>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</si>
  <si>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</si>
  <si>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</si>
  <si>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</si>
  <si>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</si>
  <si>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</si>
  <si>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</si>
  <si>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</si>
  <si>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</si>
  <si>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</si>
  <si>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</si>
  <si>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</si>
  <si>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</si>
  <si>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</si>
  <si>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</si>
  <si>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</si>
  <si>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</si>
  <si>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</si>
  <si>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</si>
  <si>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</si>
  <si>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</si>
  <si>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</si>
  <si>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</si>
  <si>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</si>
  <si>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</si>
  <si>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</si>
  <si>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</si>
  <si>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</si>
  <si>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</si>
  <si>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</si>
  <si>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</si>
  <si>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</si>
  <si>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</si>
  <si>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</si>
  <si>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</si>
  <si>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</si>
  <si>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</si>
  <si>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</si>
  <si>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</si>
  <si>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</si>
  <si>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</si>
  <si>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</si>
  <si>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</si>
  <si>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</si>
  <si>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</si>
  <si>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</si>
  <si>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</si>
  <si>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</si>
  <si>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</si>
  <si>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</si>
  <si>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</si>
  <si>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</si>
  <si>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</si>
  <si>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</si>
  <si>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</si>
  <si>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</si>
  <si>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</si>
  <si>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</si>
  <si>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</si>
  <si>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</si>
  <si>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</si>
  <si>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</si>
  <si>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</si>
  <si>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</si>
  <si>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</si>
  <si>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</si>
  <si>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</si>
  <si>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</si>
  <si>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</si>
  <si>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</si>
  <si>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</si>
  <si>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</si>
  <si>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</si>
  <si>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</si>
  <si>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</si>
  <si>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</si>
  <si>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</si>
  <si>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</si>
  <si>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</si>
  <si>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</si>
  <si>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</si>
  <si>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</si>
  <si>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</si>
  <si>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</si>
  <si>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</si>
  <si>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</si>
  <si>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</si>
  <si>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</si>
  <si>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</si>
  <si>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</si>
  <si>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</si>
  <si>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</si>
  <si>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</si>
  <si>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</si>
  <si>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</si>
  <si>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</si>
  <si>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</si>
  <si>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</si>
  <si>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</si>
  <si>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</si>
  <si>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</si>
  <si>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</si>
  <si>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</si>
  <si>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</si>
  <si>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</si>
  <si>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</si>
  <si>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</si>
  <si>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</si>
  <si>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</si>
  <si>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</si>
  <si>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</si>
  <si>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</si>
  <si>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</si>
  <si>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</si>
  <si>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</si>
  <si>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</si>
  <si>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</si>
  <si>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</si>
  <si>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</si>
  <si>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</si>
  <si>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</si>
  <si>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</si>
  <si>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</si>
  <si>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</si>
  <si>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</si>
  <si>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</si>
  <si>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</si>
  <si>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</si>
  <si>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</si>
  <si>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</si>
  <si>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</si>
  <si>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</si>
  <si>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</si>
  <si>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</si>
  <si>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</si>
  <si>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</si>
  <si>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</si>
  <si>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</si>
  <si>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</si>
  <si>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</si>
  <si>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</si>
  <si>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</si>
  <si>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</si>
  <si>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</si>
  <si>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</si>
  <si>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</si>
  <si>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</si>
  <si>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</si>
  <si>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</si>
  <si>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</si>
  <si>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</si>
  <si>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</si>
  <si>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</si>
  <si>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</si>
  <si>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</si>
  <si>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</si>
  <si>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</si>
  <si>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</si>
  <si>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</si>
  <si>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</si>
  <si>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</si>
  <si>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</si>
  <si>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</si>
  <si>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</si>
  <si>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</si>
  <si>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</si>
  <si>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</si>
  <si>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</si>
  <si>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</si>
  <si>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</si>
  <si>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</si>
  <si>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</si>
  <si>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</si>
  <si>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</si>
  <si>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</si>
  <si>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</si>
  <si>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</si>
  <si>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</si>
  <si>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</si>
  <si>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</si>
  <si>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</si>
  <si>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</si>
  <si>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</si>
  <si>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</si>
  <si>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</si>
  <si>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</si>
  <si>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</si>
  <si>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</si>
  <si>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</si>
  <si>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</si>
  <si>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</si>
  <si>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</si>
  <si>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</si>
  <si>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</si>
  <si>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</si>
  <si>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</si>
  <si>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</si>
  <si>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</si>
  <si>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</si>
  <si>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</si>
  <si>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</si>
  <si>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</si>
  <si>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</si>
  <si>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</si>
  <si>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</si>
  <si>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</si>
  <si>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</si>
  <si>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</si>
  <si>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</si>
  <si>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</si>
  <si>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</si>
  <si>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</si>
  <si>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</si>
  <si>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</si>
  <si>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</si>
  <si>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</si>
  <si>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</si>
  <si>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</si>
  <si>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</si>
  <si>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</si>
  <si>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</si>
  <si>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</si>
  <si>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</si>
  <si>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</si>
  <si>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</si>
  <si>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</si>
  <si>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</si>
  <si>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</si>
  <si>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</si>
  <si>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</si>
  <si>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</si>
  <si>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</si>
  <si>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</si>
  <si>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</si>
  <si>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</si>
  <si>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</si>
  <si>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</si>
  <si>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</si>
  <si>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</si>
  <si>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</si>
  <si>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</si>
  <si>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</si>
  <si>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</si>
  <si>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</si>
  <si>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</si>
  <si>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</si>
  <si>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</si>
  <si>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</si>
  <si>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</si>
  <si>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</si>
  <si>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</si>
  <si>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</si>
  <si>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</si>
  <si>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</si>
  <si>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</si>
  <si>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</si>
  <si>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</si>
  <si>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</si>
  <si>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</si>
  <si>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</si>
  <si>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</si>
  <si>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</si>
  <si>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</si>
  <si>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</si>
  <si>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</si>
  <si>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</si>
  <si>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</si>
  <si>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</si>
  <si>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</si>
  <si>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</si>
  <si>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</si>
  <si>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</si>
  <si>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</si>
  <si>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</si>
  <si>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</si>
  <si>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</si>
  <si>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</si>
  <si>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</si>
  <si>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</si>
  <si>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</si>
  <si>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</si>
  <si>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</si>
  <si>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</si>
  <si>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</si>
  <si>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</si>
  <si>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</si>
  <si>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</si>
  <si>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</si>
  <si>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</si>
  <si>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</si>
  <si>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</si>
  <si>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</si>
  <si>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</si>
  <si>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</si>
  <si>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</si>
  <si>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</si>
  <si>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</si>
  <si>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</si>
  <si>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</si>
  <si>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</si>
  <si>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</si>
  <si>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</si>
  <si>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</si>
  <si>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</si>
  <si>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</si>
  <si>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</si>
  <si>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</si>
  <si>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</si>
  <si>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</si>
  <si>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</si>
  <si>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</si>
  <si>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</si>
  <si>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</si>
  <si>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</si>
  <si>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</si>
  <si>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</si>
  <si>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</si>
  <si>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</si>
  <si>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</si>
  <si>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</si>
  <si>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</si>
  <si>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</si>
  <si>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</si>
  <si>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</si>
  <si>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</si>
  <si>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</si>
  <si>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</si>
  <si>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</si>
  <si>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</si>
  <si>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</si>
  <si>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</si>
  <si>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</si>
  <si>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</si>
  <si>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</si>
  <si>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</si>
  <si>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</si>
  <si>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</si>
  <si>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</si>
  <si>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</si>
  <si>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</si>
  <si>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</si>
  <si>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</si>
  <si>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</si>
  <si>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</si>
  <si>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</si>
  <si>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</si>
  <si>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</si>
  <si>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</si>
  <si>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</si>
  <si>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</si>
  <si>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</si>
  <si>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</si>
  <si>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</si>
  <si>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</si>
  <si>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</si>
  <si>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</si>
  <si>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</si>
  <si>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</si>
  <si>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</si>
  <si>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</si>
  <si>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</si>
  <si>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</si>
  <si>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</si>
  <si>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</si>
  <si>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</si>
  <si>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</si>
  <si>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</si>
  <si>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</si>
  <si>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</si>
  <si>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</si>
  <si>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</si>
  <si>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</si>
  <si>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</si>
  <si>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</si>
  <si>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</si>
  <si>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</si>
  <si>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</si>
  <si>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</si>
  <si>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</si>
  <si>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</si>
  <si>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</si>
  <si>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</si>
  <si>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</si>
  <si>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</si>
  <si>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</si>
  <si>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</si>
  <si>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</si>
  <si>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</si>
  <si>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</si>
  <si>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</si>
  <si>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</si>
  <si>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</si>
  <si>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</si>
  <si>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</si>
  <si>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</si>
  <si>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</si>
  <si>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</si>
  <si>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</si>
  <si>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</si>
  <si>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</si>
  <si>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</si>
  <si>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</si>
  <si>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</si>
  <si>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</si>
  <si>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</si>
  <si>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</si>
  <si>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</si>
  <si>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</si>
  <si>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</si>
  <si>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</si>
  <si>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</si>
  <si>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</si>
  <si>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</si>
  <si>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</si>
  <si>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</si>
  <si>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</si>
  <si>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</si>
  <si>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</si>
  <si>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</si>
  <si>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</si>
  <si>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</si>
  <si>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</si>
  <si>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</si>
  <si>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</si>
  <si>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</si>
  <si>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</si>
  <si>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</si>
  <si>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</si>
  <si>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</si>
  <si>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</si>
  <si>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</si>
  <si>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</si>
  <si>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</si>
  <si>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</si>
  <si>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</si>
  <si>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</si>
  <si>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</si>
  <si>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</si>
  <si>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</si>
  <si>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</si>
  <si>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</si>
  <si>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</si>
  <si>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</si>
  <si>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</si>
  <si>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</si>
  <si>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</si>
  <si>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</si>
  <si>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</si>
  <si>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</si>
  <si>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</si>
  <si>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</si>
  <si>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</si>
  <si>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</si>
  <si>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</si>
  <si>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</si>
  <si>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</si>
  <si>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</si>
  <si>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</si>
  <si>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</si>
  <si>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</si>
  <si>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</si>
  <si>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</si>
  <si>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</si>
  <si>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</si>
  <si>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</si>
  <si>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</si>
  <si>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</si>
  <si>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</si>
  <si>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</si>
  <si>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</si>
  <si>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</si>
  <si>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</si>
  <si>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</si>
  <si>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</si>
  <si>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</si>
  <si>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</si>
  <si>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</si>
  <si>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</si>
  <si>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</si>
  <si>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</si>
  <si>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</si>
  <si>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</si>
  <si>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</si>
  <si>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</si>
  <si>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</si>
  <si>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</si>
  <si>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</si>
  <si>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</si>
  <si>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</si>
  <si>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</si>
  <si>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</si>
  <si>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</si>
  <si>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</si>
  <si>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</si>
  <si>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</si>
  <si>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</si>
  <si>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</si>
  <si>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</si>
  <si>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</si>
  <si>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</si>
  <si>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</si>
  <si>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</si>
  <si>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</si>
  <si>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</si>
  <si>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</si>
  <si>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</si>
  <si>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</si>
  <si>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</si>
  <si>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</si>
  <si>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</si>
  <si>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</si>
  <si>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</si>
  <si>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</si>
  <si>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</si>
  <si>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</si>
  <si>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</si>
  <si>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</si>
  <si>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</si>
  <si>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</si>
  <si>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</si>
  <si>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</si>
  <si>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</si>
  <si>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</si>
  <si>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</si>
  <si>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</si>
  <si>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</si>
  <si>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</si>
  <si>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</si>
  <si>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</si>
  <si>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</si>
  <si>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</si>
  <si>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</si>
  <si>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</si>
  <si>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</si>
  <si>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</si>
  <si>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</si>
  <si>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</si>
  <si>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</si>
  <si>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</si>
  <si>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</si>
  <si>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</si>
  <si>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</si>
  <si>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</si>
  <si>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</si>
  <si>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</si>
  <si>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</si>
  <si>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</si>
  <si>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</si>
  <si>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</si>
  <si>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</si>
  <si>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</si>
  <si>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</si>
  <si>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</si>
  <si>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</si>
  <si>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</si>
  <si>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</si>
  <si>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</si>
  <si>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</si>
  <si>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</si>
  <si>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</si>
  <si>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</si>
  <si>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</si>
  <si>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</si>
  <si>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</si>
  <si>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</si>
  <si>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</si>
  <si>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</si>
  <si>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</si>
  <si>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</si>
  <si>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</si>
  <si>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</si>
  <si>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</si>
  <si>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</si>
  <si>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</si>
  <si>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</si>
  <si>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</si>
  <si>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</si>
  <si>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</si>
  <si>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</si>
  <si>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</si>
  <si>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</si>
  <si>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</si>
  <si>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</si>
  <si>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</si>
  <si>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</si>
  <si>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</si>
  <si>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</si>
  <si>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</si>
  <si>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</si>
  <si>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</si>
  <si>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</si>
  <si>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</si>
  <si>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</si>
  <si>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</si>
  <si>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</si>
  <si>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</si>
  <si>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</si>
  <si>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</si>
  <si>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</si>
  <si>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</si>
  <si>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</si>
  <si>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</si>
  <si>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</si>
  <si>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</si>
  <si>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</si>
  <si>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</si>
  <si>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</si>
  <si>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</si>
  <si>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</si>
  <si>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</si>
  <si>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</si>
  <si>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</si>
  <si>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</si>
  <si>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</si>
  <si>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</si>
  <si>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</si>
  <si>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</si>
  <si>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</si>
  <si>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</si>
  <si>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</si>
  <si>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</si>
  <si>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</si>
  <si>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</si>
  <si>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</si>
  <si>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</si>
  <si>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</si>
  <si>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</si>
  <si>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</si>
  <si>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</si>
  <si>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</si>
  <si>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</si>
  <si>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</si>
  <si>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</si>
  <si>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</si>
  <si>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</si>
  <si>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</si>
  <si>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</si>
  <si>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</si>
  <si>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</si>
  <si>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</si>
  <si>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</si>
  <si>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</si>
  <si>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</si>
  <si>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</si>
  <si>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</si>
  <si>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</si>
  <si>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</si>
  <si>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</si>
  <si>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</si>
  <si>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</si>
  <si>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</si>
  <si>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</si>
  <si>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</si>
  <si>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</si>
  <si>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</si>
  <si>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</si>
  <si>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</si>
  <si>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</si>
  <si>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</si>
  <si>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</si>
  <si>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</si>
  <si>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</si>
  <si>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</si>
  <si>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</si>
  <si>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</si>
  <si>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</si>
  <si>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</si>
  <si>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</si>
  <si>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</si>
  <si>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</si>
  <si>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</si>
  <si>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</si>
  <si>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</si>
  <si>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</si>
  <si>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</si>
  <si>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</si>
  <si>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</si>
  <si>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</si>
  <si>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</si>
  <si>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</si>
  <si>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</si>
  <si>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</si>
  <si>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</si>
  <si>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</si>
  <si>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</si>
  <si>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</si>
  <si>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</si>
  <si>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</si>
  <si>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</si>
  <si>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</si>
  <si>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</si>
  <si>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</si>
  <si>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</si>
  <si>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</si>
  <si>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</si>
  <si>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</si>
  <si>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</si>
  <si>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</si>
  <si>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</si>
  <si>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</si>
  <si>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</si>
  <si>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</si>
  <si>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</si>
  <si>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</si>
  <si>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</si>
  <si>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</si>
  <si>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</si>
  <si>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</si>
  <si>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</si>
  <si>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</si>
  <si>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</si>
  <si>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</si>
  <si>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</si>
  <si>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</si>
  <si>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</si>
  <si>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</si>
  <si>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</si>
  <si>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</si>
  <si>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</si>
  <si>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</si>
  <si>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</si>
  <si>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</si>
  <si>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</si>
  <si>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</si>
  <si>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</si>
  <si>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</si>
  <si>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</si>
  <si>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</si>
  <si>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</si>
  <si>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</si>
  <si>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</si>
  <si>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</si>
  <si>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</si>
  <si>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</si>
  <si>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</si>
  <si>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</si>
  <si>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</si>
  <si>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</si>
  <si>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</si>
  <si>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</si>
  <si>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</si>
  <si>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</si>
  <si>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</si>
  <si>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</si>
  <si>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</si>
  <si>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</si>
  <si>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</si>
  <si>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</si>
  <si>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</si>
  <si>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</si>
  <si>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</si>
  <si>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</si>
  <si>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</si>
  <si>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</si>
  <si>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</si>
  <si>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</si>
  <si>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</si>
  <si>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</si>
  <si>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</si>
  <si>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</si>
  <si>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</si>
  <si>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</si>
  <si>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</si>
  <si>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</si>
  <si>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</si>
  <si>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</si>
  <si>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</si>
  <si>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</si>
  <si>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</si>
  <si>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</si>
  <si>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</si>
  <si>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</si>
  <si>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</si>
  <si>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</si>
  <si>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</si>
  <si>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</si>
  <si>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</si>
  <si>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</si>
  <si>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</si>
  <si>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</si>
  <si>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</si>
  <si>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</si>
  <si>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</si>
  <si>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</si>
  <si>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</si>
  <si>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</si>
  <si>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</si>
  <si>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</si>
  <si>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</si>
  <si>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</si>
  <si>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</si>
  <si>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</si>
  <si>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</si>
  <si>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</si>
  <si>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</si>
  <si>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</si>
  <si>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</si>
  <si>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</si>
  <si>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</si>
  <si>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</si>
  <si>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</si>
  <si>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</si>
  <si>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</si>
  <si>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</si>
  <si>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</si>
  <si>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</si>
  <si>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</si>
  <si>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</si>
  <si>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</si>
  <si>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</si>
  <si>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</si>
  <si>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</si>
  <si>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</si>
  <si>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</si>
  <si>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</si>
  <si>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</si>
  <si>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</si>
  <si>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</si>
  <si>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</si>
  <si>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</si>
  <si>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</si>
  <si>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</si>
  <si>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</si>
  <si>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</si>
  <si>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</si>
  <si>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</si>
  <si>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</si>
  <si>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</si>
  <si>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</si>
  <si>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</si>
  <si>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</si>
  <si>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</si>
  <si>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</si>
  <si>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</si>
  <si>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</si>
  <si>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</si>
  <si>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</si>
  <si>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</si>
  <si>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</si>
  <si>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</si>
  <si>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</si>
  <si>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</si>
  <si>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</si>
  <si>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</si>
  <si>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</si>
  <si>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</si>
  <si>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</si>
  <si>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</si>
  <si>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</si>
  <si>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</si>
  <si>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</si>
  <si>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</si>
  <si>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</si>
  <si>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</si>
  <si>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</si>
  <si>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</si>
  <si>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</si>
  <si>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</si>
  <si>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</si>
  <si>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</si>
  <si>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</si>
  <si>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</si>
  <si>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</si>
  <si>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</si>
  <si>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</si>
  <si>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</si>
  <si>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</si>
  <si>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</si>
  <si>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</si>
  <si>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</si>
  <si>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</si>
  <si>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</si>
  <si>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</si>
  <si>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</si>
  <si>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</si>
  <si>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</si>
  <si>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</si>
  <si>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</si>
  <si>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</si>
  <si>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</si>
  <si>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</si>
  <si>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</si>
  <si>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</si>
  <si>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</si>
  <si>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</si>
  <si>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</si>
  <si>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</si>
  <si>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</si>
  <si>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</si>
  <si>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</si>
  <si>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</si>
  <si>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</si>
  <si>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</si>
  <si>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</si>
  <si>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</si>
  <si>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</si>
  <si>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</si>
  <si>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</si>
  <si>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</si>
  <si>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</si>
  <si>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</si>
  <si>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</si>
  <si>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</si>
  <si>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</si>
  <si>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</si>
  <si>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</si>
  <si>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</si>
  <si>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</si>
  <si>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</si>
  <si>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</si>
  <si>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</si>
  <si>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</si>
  <si>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</si>
  <si>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</si>
  <si>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</si>
  <si>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</si>
  <si>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</si>
  <si>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</si>
  <si>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</si>
  <si>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</si>
  <si>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</si>
  <si>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</si>
  <si>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</si>
  <si>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</si>
  <si>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</si>
  <si>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</si>
  <si>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</si>
  <si>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</si>
  <si>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</si>
  <si>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</si>
  <si>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</si>
  <si>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</si>
  <si>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</si>
  <si>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</si>
  <si>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</si>
  <si>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</si>
  <si>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</si>
  <si>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</si>
  <si>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</si>
  <si>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</si>
  <si>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</si>
  <si>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</si>
  <si>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</si>
  <si>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</si>
  <si>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</si>
  <si>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</si>
  <si>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</si>
  <si>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</si>
  <si>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</si>
  <si>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</si>
  <si>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</si>
  <si>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</si>
  <si>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</si>
  <si>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</si>
  <si>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</si>
  <si>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</si>
  <si>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</si>
  <si>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</si>
  <si>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</si>
  <si>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</si>
  <si>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</si>
  <si>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</si>
  <si>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</si>
  <si>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</si>
  <si>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</si>
  <si>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</si>
  <si>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</si>
  <si>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</si>
  <si>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</si>
  <si>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</si>
  <si>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</si>
  <si>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</si>
  <si>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</si>
  <si>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</si>
  <si>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</si>
  <si>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</si>
  <si>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</si>
  <si>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</si>
  <si>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</si>
  <si>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</si>
  <si>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</si>
  <si>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</si>
  <si>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</si>
  <si>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</si>
  <si>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</si>
  <si>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</si>
  <si>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</si>
  <si>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</si>
  <si>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</si>
  <si>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</si>
  <si>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</si>
  <si>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</si>
  <si>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</si>
  <si>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</si>
  <si>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</si>
  <si>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</si>
  <si>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</si>
  <si>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</si>
  <si>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</si>
  <si>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</si>
  <si>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</si>
  <si>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</si>
  <si>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</si>
  <si>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</si>
  <si>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</si>
  <si>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</si>
  <si>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</si>
  <si>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</si>
  <si>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</si>
  <si>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</si>
  <si>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</si>
  <si>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</si>
  <si>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</si>
  <si>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</si>
  <si>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</si>
  <si>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</si>
  <si>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</si>
  <si>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</si>
  <si>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</si>
  <si>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</si>
  <si>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</si>
  <si>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</si>
  <si>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</si>
  <si>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</si>
  <si>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</si>
  <si>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</si>
  <si>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</si>
  <si>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</si>
  <si>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</si>
  <si>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</si>
  <si>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</si>
  <si>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</si>
  <si>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</si>
  <si>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</si>
  <si>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</si>
  <si>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</si>
  <si>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</si>
  <si>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</si>
  <si>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</si>
  <si>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</si>
  <si>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</si>
  <si>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</si>
  <si>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</si>
  <si>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</si>
  <si>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</si>
  <si>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</si>
  <si>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</si>
  <si>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</si>
  <si>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</si>
  <si>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</si>
  <si>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</si>
  <si>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</si>
  <si>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</si>
  <si>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</si>
  <si>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</si>
  <si>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</si>
  <si>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</si>
  <si>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</si>
  <si>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</si>
  <si>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</si>
  <si>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</si>
  <si>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</si>
  <si>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</si>
  <si>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</si>
  <si>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</si>
  <si>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</si>
  <si>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</si>
  <si>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</si>
  <si>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</si>
  <si>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</si>
  <si>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</si>
  <si>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</si>
  <si>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</si>
  <si>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</si>
  <si>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</si>
  <si>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</si>
  <si>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</si>
  <si>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</si>
  <si>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</si>
  <si>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</si>
  <si>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</si>
  <si>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</si>
  <si>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</si>
  <si>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</si>
  <si>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</si>
  <si>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</si>
  <si>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</si>
  <si>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</si>
  <si>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</si>
  <si>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</si>
  <si>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</si>
  <si>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</si>
  <si>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</si>
  <si>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</si>
  <si>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</si>
  <si>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</si>
  <si>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</si>
  <si>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</si>
  <si>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</si>
  <si>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</si>
  <si>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</si>
  <si>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</si>
  <si>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</si>
  <si>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</si>
  <si>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</si>
  <si>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</si>
  <si>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</si>
  <si>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</si>
  <si>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</si>
  <si>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</si>
  <si>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</si>
  <si>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</si>
  <si>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</si>
  <si>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</si>
  <si>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</si>
  <si>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</si>
  <si>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</si>
  <si>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</si>
  <si>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</si>
  <si>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</si>
  <si>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</si>
  <si>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</si>
  <si>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</si>
  <si>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</si>
  <si>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</si>
  <si>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</si>
  <si>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</si>
  <si>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</si>
  <si>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</si>
  <si>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</si>
  <si>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</si>
  <si>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</si>
  <si>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</si>
  <si>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</si>
  <si>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</si>
  <si>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</si>
  <si>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</si>
  <si>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</si>
  <si>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</si>
  <si>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</si>
  <si>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</si>
  <si>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</si>
  <si>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</si>
  <si>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</si>
  <si>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</si>
  <si>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</si>
  <si>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</si>
  <si>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</si>
  <si>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</si>
  <si>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</si>
  <si>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</si>
  <si>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</si>
  <si>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</si>
  <si>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</si>
  <si>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</si>
  <si>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</si>
  <si>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</si>
  <si>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</si>
  <si>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</si>
  <si>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</si>
  <si>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</si>
  <si>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</si>
  <si>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</si>
  <si>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</si>
  <si>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</si>
  <si>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</si>
  <si>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</si>
  <si>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</si>
  <si>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</si>
  <si>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</si>
  <si>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</si>
  <si>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</si>
  <si>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</si>
  <si>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</si>
  <si>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</si>
  <si>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</si>
  <si>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</si>
  <si>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</si>
  <si>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</si>
  <si>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</si>
  <si>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</si>
  <si>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</si>
  <si>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</si>
  <si>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</si>
  <si>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</si>
  <si>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</si>
  <si>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</si>
  <si>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</si>
  <si>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</si>
  <si>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</si>
  <si>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</si>
  <si>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</si>
  <si>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</si>
  <si>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</si>
  <si>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</si>
  <si>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</si>
  <si>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</si>
  <si>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</si>
  <si>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</si>
  <si>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</si>
  <si>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</si>
  <si>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</si>
  <si>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</si>
  <si>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</si>
  <si>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</si>
  <si>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</si>
  <si>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</si>
  <si>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</si>
  <si>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</si>
  <si>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</si>
  <si>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</si>
  <si>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</si>
  <si>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</si>
  <si>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</si>
  <si>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</si>
  <si>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</si>
  <si>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</si>
  <si>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</si>
  <si>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</si>
  <si>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</si>
  <si>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</si>
  <si>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</si>
  <si>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</si>
  <si>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</si>
  <si>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</si>
  <si>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</si>
  <si>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</si>
  <si>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</si>
  <si>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</si>
  <si>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</si>
  <si>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</si>
  <si>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</si>
  <si>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</si>
  <si>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</si>
  <si>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</si>
  <si>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</si>
  <si>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</si>
  <si>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</si>
  <si>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</si>
  <si>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</si>
  <si>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</si>
  <si>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</si>
  <si>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</si>
  <si>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</si>
  <si>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</si>
  <si>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</si>
  <si>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</si>
  <si>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</si>
  <si>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</si>
  <si>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</si>
  <si>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</si>
  <si>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</si>
  <si>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</si>
  <si>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</si>
  <si>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</si>
  <si>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</si>
  <si>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</si>
  <si>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</si>
  <si>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</si>
  <si>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</si>
  <si>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</si>
  <si>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</si>
  <si>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</si>
  <si>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</si>
  <si>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</si>
  <si>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</si>
  <si>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</si>
  <si>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</si>
  <si>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</si>
  <si>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</si>
  <si>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</si>
  <si>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</si>
  <si>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</si>
  <si>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</si>
  <si>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</si>
  <si>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</si>
  <si>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</si>
  <si>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</si>
  <si>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</si>
  <si>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</si>
  <si>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</si>
  <si>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</si>
  <si>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</si>
  <si>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</si>
  <si>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</si>
  <si>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</si>
  <si>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</si>
  <si>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</si>
  <si>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</si>
  <si>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</si>
  <si>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</si>
  <si>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</si>
  <si>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</si>
  <si>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</si>
  <si>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</si>
  <si>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</si>
  <si>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</si>
  <si>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</si>
  <si>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</si>
  <si>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</si>
  <si>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</si>
  <si>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</si>
  <si>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</si>
  <si>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</si>
  <si>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</si>
  <si>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</si>
  <si>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</si>
  <si>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</si>
  <si>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</si>
  <si>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</si>
  <si>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</si>
  <si>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</si>
  <si>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</si>
  <si>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</si>
  <si>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</si>
  <si>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</si>
  <si>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</si>
  <si>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</si>
  <si>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</si>
  <si>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</si>
  <si>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</si>
  <si>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</si>
  <si>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</si>
  <si>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</si>
  <si>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</si>
  <si>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</si>
  <si>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</si>
  <si>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</si>
  <si>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</si>
  <si>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</si>
  <si>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</si>
  <si>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</si>
  <si>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</si>
  <si>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</si>
  <si>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</si>
  <si>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</si>
  <si>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</si>
  <si>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</si>
  <si>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</si>
  <si>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</si>
  <si>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</si>
  <si>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</si>
  <si>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</si>
  <si>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</si>
  <si>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</si>
  <si>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</si>
  <si>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</si>
  <si>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</si>
  <si>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</si>
  <si>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</si>
  <si>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</si>
  <si>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</si>
  <si>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</si>
  <si>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</si>
  <si>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</si>
  <si>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</si>
  <si>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</si>
  <si>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</si>
  <si>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</si>
  <si>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</si>
  <si>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</si>
  <si>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</si>
  <si>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</si>
  <si>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</si>
  <si>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</si>
  <si>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</si>
  <si>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</si>
  <si>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</si>
  <si>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</si>
  <si>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</si>
  <si>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</si>
  <si>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</si>
  <si>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</si>
  <si>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</si>
  <si>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</si>
  <si>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</si>
  <si>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</si>
  <si>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</si>
  <si>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</si>
  <si>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</si>
  <si>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</si>
  <si>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</si>
  <si>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</si>
  <si>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</si>
  <si>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</si>
  <si>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</si>
  <si>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</si>
  <si>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</si>
  <si>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</si>
  <si>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</si>
  <si>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</si>
  <si>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</si>
  <si>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</si>
  <si>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</si>
  <si>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</si>
  <si>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</si>
  <si>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</si>
  <si>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</si>
  <si>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</si>
  <si>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</si>
  <si>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</si>
  <si>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</si>
  <si>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</si>
  <si>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</si>
  <si>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</si>
  <si>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</si>
  <si>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</si>
  <si>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</si>
  <si>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</si>
  <si>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</si>
  <si>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</si>
  <si>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</si>
  <si>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</si>
  <si>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</si>
  <si>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</si>
  <si>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</si>
  <si>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</si>
  <si>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</si>
  <si>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</si>
  <si>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</si>
  <si>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</si>
  <si>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</si>
  <si>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</si>
  <si>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</si>
  <si>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</si>
  <si>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</si>
  <si>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</si>
  <si>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</si>
  <si>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</si>
  <si>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</si>
  <si>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</si>
  <si>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</si>
  <si>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</si>
  <si>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</si>
  <si>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</si>
  <si>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</si>
  <si>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</si>
  <si>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</si>
  <si>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</si>
  <si>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</si>
  <si>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</si>
  <si>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</si>
  <si>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</si>
  <si>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</si>
  <si>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</si>
  <si>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</si>
  <si>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</si>
  <si>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</si>
  <si>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</si>
  <si>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</si>
  <si>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</si>
  <si>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</si>
  <si>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</si>
  <si>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</si>
  <si>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</si>
  <si>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</si>
  <si>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</si>
  <si>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</si>
  <si>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</si>
  <si>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</si>
  <si>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</si>
  <si>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</si>
  <si>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</si>
  <si>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</si>
  <si>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</si>
  <si>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</si>
  <si>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</si>
  <si>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</si>
  <si>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</si>
  <si>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</si>
  <si>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</si>
  <si>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</si>
  <si>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</si>
  <si>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</si>
  <si>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</si>
  <si>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</si>
  <si>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</si>
  <si>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</si>
  <si>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</si>
  <si>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</si>
  <si>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</si>
  <si>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</si>
  <si>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</si>
  <si>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</si>
  <si>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</si>
  <si>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</si>
  <si>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</si>
  <si>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</si>
  <si>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</si>
  <si>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</si>
  <si>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</si>
  <si>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</si>
  <si>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</si>
  <si>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</si>
  <si>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</si>
  <si>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</si>
  <si>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</si>
  <si>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</si>
  <si>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</si>
  <si>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</si>
  <si>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</si>
  <si>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</si>
  <si>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</si>
  <si>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</si>
  <si>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</si>
  <si>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</si>
  <si>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</si>
  <si>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</si>
  <si>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</si>
  <si>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</si>
  <si>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</si>
  <si>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</si>
  <si>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</si>
  <si>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</si>
  <si>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</si>
  <si>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</si>
  <si>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</si>
  <si>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</si>
  <si>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</si>
  <si>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</si>
  <si>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</si>
  <si>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</si>
  <si>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</si>
  <si>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</si>
  <si>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</si>
  <si>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</si>
  <si>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</si>
  <si>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</si>
  <si>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</si>
  <si>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</si>
  <si>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</si>
  <si>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</si>
  <si>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</si>
  <si>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</si>
  <si>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</si>
  <si>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</si>
  <si>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</si>
  <si>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</si>
  <si>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</si>
  <si>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</si>
  <si>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</si>
  <si>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</si>
  <si>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</si>
  <si>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</si>
  <si>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</si>
  <si>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</si>
  <si>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</si>
  <si>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</si>
  <si>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</si>
  <si>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</si>
  <si>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</si>
  <si>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</si>
  <si>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</si>
  <si>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</si>
  <si>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</si>
  <si>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</si>
  <si>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</si>
  <si>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</si>
  <si>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</si>
  <si>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</si>
  <si>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</si>
  <si>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</si>
  <si>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</si>
  <si>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</si>
  <si>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</si>
  <si>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</si>
  <si>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</si>
  <si>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</si>
  <si>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</si>
  <si>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</si>
  <si>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</si>
  <si>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</si>
  <si>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</si>
  <si>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</si>
  <si>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</si>
  <si>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</si>
  <si>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</si>
  <si>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</si>
  <si>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</si>
  <si>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</si>
  <si>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</si>
  <si>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</si>
  <si>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</si>
  <si>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</si>
  <si>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</si>
  <si>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</si>
  <si>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</si>
  <si>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</si>
  <si>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</si>
  <si>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</si>
  <si>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</si>
  <si>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</si>
  <si>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</si>
  <si>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</si>
  <si>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</si>
  <si>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</si>
  <si>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</si>
  <si>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</si>
  <si>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</si>
  <si>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</si>
  <si>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</si>
  <si>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</si>
  <si>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</si>
  <si>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</si>
  <si>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</si>
  <si>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</si>
  <si>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</si>
  <si>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</si>
  <si>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</si>
  <si>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</si>
  <si>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</si>
  <si>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</si>
  <si>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</si>
  <si>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</si>
  <si>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</si>
  <si>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</si>
  <si>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</si>
  <si>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</si>
  <si>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</si>
  <si>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</si>
  <si>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</si>
  <si>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</si>
  <si>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</si>
  <si>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</si>
  <si>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</si>
  <si>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</si>
  <si>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</si>
  <si>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</si>
  <si>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</si>
  <si>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</si>
  <si>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</si>
  <si>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</si>
  <si>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</si>
  <si>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</si>
  <si>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</si>
  <si>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</si>
  <si>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</si>
  <si>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</si>
  <si>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</si>
  <si>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</si>
  <si>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</si>
  <si>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</si>
  <si>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</si>
  <si>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</si>
  <si>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</si>
  <si>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</si>
  <si>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</si>
  <si>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</si>
  <si>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</si>
  <si>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</si>
  <si>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</si>
  <si>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</si>
  <si>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</si>
  <si>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</si>
  <si>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</si>
  <si>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</si>
  <si>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</si>
  <si>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</si>
  <si>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</si>
  <si>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</si>
  <si>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</si>
  <si>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</si>
  <si>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</si>
  <si>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</si>
  <si>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</si>
  <si>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</si>
  <si>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</si>
  <si>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</si>
  <si>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</si>
  <si>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</si>
  <si>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</si>
  <si>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</si>
  <si>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</si>
  <si>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</si>
  <si>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</si>
  <si>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</si>
  <si>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</si>
  <si>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</si>
  <si>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</si>
  <si>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</si>
  <si>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</si>
  <si>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</si>
  <si>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</si>
  <si>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</si>
  <si>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</si>
  <si>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</si>
  <si>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</si>
  <si>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</si>
  <si>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</si>
  <si>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</si>
  <si>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</si>
  <si>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</si>
  <si>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</si>
  <si>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</si>
  <si>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</si>
  <si>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</si>
  <si>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</si>
  <si>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</si>
  <si>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</si>
  <si>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</si>
  <si>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</si>
  <si>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</si>
  <si>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</si>
  <si>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</si>
  <si>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</si>
  <si>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</si>
  <si>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</si>
  <si>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</si>
  <si>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</si>
  <si>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</si>
  <si>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</si>
  <si>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</si>
  <si>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</si>
  <si>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</si>
  <si>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</si>
  <si>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</si>
  <si>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</si>
  <si>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</si>
  <si>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</si>
  <si>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</si>
  <si>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</si>
  <si>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</si>
  <si>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</si>
  <si>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</si>
  <si>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</si>
  <si>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</si>
  <si>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</si>
  <si>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</si>
  <si>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</si>
  <si>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</si>
  <si>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</si>
  <si>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</si>
  <si>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</si>
  <si>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</si>
  <si>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</si>
  <si>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</si>
  <si>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</si>
  <si>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</si>
  <si>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</si>
  <si>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</si>
  <si>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</si>
  <si>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</si>
  <si>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</si>
  <si>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</si>
  <si>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</si>
  <si>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</si>
  <si>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</si>
  <si>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</si>
  <si>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</si>
  <si>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</si>
  <si>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</si>
  <si>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</si>
  <si>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</si>
  <si>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</si>
  <si>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</si>
  <si>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</si>
  <si>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</si>
  <si>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</si>
  <si>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</si>
  <si>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</si>
  <si>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</si>
  <si>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</si>
  <si>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</si>
  <si>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</si>
  <si>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</si>
  <si>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</si>
  <si>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</si>
  <si>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</si>
  <si>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</si>
  <si>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</si>
  <si>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</si>
  <si>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</si>
  <si>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</si>
  <si>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</si>
  <si>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</si>
  <si>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</si>
  <si>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</si>
  <si>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</si>
  <si>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</si>
  <si>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</si>
  <si>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</si>
  <si>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</si>
  <si>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</si>
  <si>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</si>
  <si>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</si>
  <si>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</si>
  <si>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</si>
  <si>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</si>
  <si>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</si>
  <si>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</si>
  <si>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</si>
  <si>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</si>
  <si>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</si>
  <si>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</si>
  <si>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</si>
  <si>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</si>
  <si>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</si>
  <si>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</si>
  <si>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</si>
  <si>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</si>
  <si>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</si>
  <si>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</si>
  <si>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</si>
  <si>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</si>
  <si>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</si>
  <si>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</si>
  <si>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</si>
  <si>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</si>
  <si>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</si>
  <si>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</si>
  <si>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</si>
  <si>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</si>
  <si>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</si>
  <si>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</si>
  <si>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</si>
  <si>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</si>
  <si>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</si>
  <si>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</si>
  <si>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</si>
  <si>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</si>
  <si>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</si>
  <si>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</si>
  <si>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</si>
  <si>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</si>
  <si>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</si>
  <si>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</si>
  <si>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</si>
  <si>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</si>
  <si>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</si>
  <si>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</si>
  <si>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</si>
  <si>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</si>
  <si>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</si>
  <si>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</si>
  <si>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</si>
  <si>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</si>
  <si>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</si>
  <si>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</si>
  <si>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</si>
  <si>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</si>
  <si>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</si>
  <si>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</si>
  <si>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</si>
  <si>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</si>
  <si>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</si>
  <si>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</si>
  <si>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</si>
  <si>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</si>
  <si>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</si>
  <si>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</si>
  <si>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</si>
  <si>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</si>
  <si>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</si>
  <si>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</si>
  <si>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</si>
  <si>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</si>
  <si>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</si>
  <si>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</si>
  <si>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</si>
  <si>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</si>
  <si>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</si>
  <si>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</si>
  <si>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</si>
  <si>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</si>
  <si>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</si>
  <si>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</si>
  <si>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</si>
  <si>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</si>
  <si>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</si>
  <si>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</si>
  <si>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</si>
  <si>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</si>
  <si>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</si>
  <si>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</si>
  <si>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</si>
  <si>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</si>
  <si>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</si>
  <si>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</si>
  <si>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</si>
  <si>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</si>
  <si>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</si>
  <si>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</si>
  <si>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</si>
  <si>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</si>
  <si>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</si>
  <si>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</si>
  <si>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</si>
  <si>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</si>
  <si>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</si>
  <si>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</si>
  <si>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</si>
  <si>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</si>
  <si>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</si>
  <si>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</si>
  <si>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</si>
  <si>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</si>
  <si>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</si>
  <si>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</si>
  <si>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</si>
  <si>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</si>
  <si>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</si>
  <si>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</si>
  <si>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</si>
  <si>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</si>
  <si>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</si>
  <si>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</si>
  <si>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</si>
  <si>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</si>
  <si>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</si>
  <si>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</si>
  <si>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</si>
  <si>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</si>
  <si>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</si>
  <si>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</si>
  <si>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</si>
  <si>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</si>
  <si>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</si>
  <si>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</si>
  <si>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</si>
  <si>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</si>
  <si>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</si>
  <si>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</si>
  <si>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</si>
  <si>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</si>
  <si>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</si>
  <si>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</si>
  <si>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</si>
  <si>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</si>
  <si>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</si>
  <si>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</si>
  <si>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</si>
  <si>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</si>
  <si>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</si>
  <si>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</si>
  <si>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</si>
  <si>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</si>
  <si>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</si>
  <si>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</si>
  <si>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</si>
  <si>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</si>
  <si>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</si>
  <si>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</si>
  <si>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</si>
  <si>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</si>
  <si>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</si>
  <si>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</si>
  <si>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</si>
  <si>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</si>
  <si>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</si>
  <si>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</si>
  <si>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</si>
  <si>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</si>
  <si>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</si>
  <si>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</si>
  <si>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</si>
  <si>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</si>
  <si>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</si>
  <si>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</si>
  <si>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</si>
  <si>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</si>
  <si>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</si>
  <si>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</si>
  <si>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</si>
  <si>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</si>
  <si>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</si>
  <si>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</si>
  <si>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</si>
  <si>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</si>
  <si>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</si>
  <si>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</si>
  <si>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</si>
  <si>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</si>
  <si>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</si>
  <si>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</si>
  <si>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</si>
  <si>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</si>
  <si>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</si>
  <si>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</si>
  <si>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</si>
  <si>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</si>
  <si>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</si>
  <si>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</si>
  <si>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</si>
  <si>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</si>
  <si>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</si>
  <si>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</si>
  <si>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</si>
  <si>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</si>
  <si>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</si>
  <si>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</si>
  <si>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</si>
  <si>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</si>
  <si>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</si>
  <si>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</si>
  <si>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</si>
  <si>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</si>
  <si>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</si>
  <si>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</si>
  <si>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</si>
  <si>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</si>
  <si>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</si>
  <si>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</si>
  <si>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</si>
  <si>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</si>
  <si>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</si>
  <si>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</si>
  <si>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</si>
  <si>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</si>
  <si>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</si>
  <si>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</si>
  <si>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</si>
  <si>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</si>
  <si>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</si>
  <si>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</si>
  <si>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</si>
  <si>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</si>
  <si>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</si>
  <si>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</si>
  <si>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</si>
  <si>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</si>
  <si>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</si>
  <si>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</si>
  <si>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</si>
  <si>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</si>
  <si>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</si>
  <si>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</si>
  <si>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</si>
  <si>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</si>
  <si>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</si>
  <si>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</si>
  <si>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</si>
  <si>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</si>
  <si>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</si>
  <si>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</si>
  <si>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</si>
  <si>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</si>
  <si>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</si>
  <si>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</si>
  <si>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</si>
  <si>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</si>
  <si>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</si>
  <si>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</si>
  <si>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</si>
  <si>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</si>
  <si>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</si>
  <si>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</si>
  <si>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</si>
  <si>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</si>
  <si>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</si>
  <si>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</si>
  <si>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</si>
  <si>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</si>
  <si>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</si>
  <si>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</si>
  <si>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</si>
  <si>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</si>
  <si>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</si>
  <si>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</si>
  <si>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</si>
  <si>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</si>
  <si>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</si>
  <si>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</si>
  <si>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</si>
  <si>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</si>
  <si>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</si>
  <si>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</si>
  <si>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</si>
  <si>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</si>
  <si>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</si>
  <si>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</si>
  <si>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</si>
  <si>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</si>
  <si>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</si>
  <si>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</si>
  <si>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</si>
  <si>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</si>
  <si>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</si>
  <si>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</si>
  <si>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</si>
  <si>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</si>
  <si>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</si>
  <si>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</si>
  <si>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</si>
  <si>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</si>
  <si>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</si>
  <si>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</si>
  <si>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</si>
  <si>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</si>
  <si>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</si>
  <si>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</si>
  <si>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</si>
  <si>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</si>
  <si>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</si>
  <si>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</si>
  <si>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</si>
  <si>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</si>
  <si>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</si>
  <si>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</si>
  <si>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</si>
  <si>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</si>
  <si>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</si>
  <si>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</si>
  <si>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</si>
  <si>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</si>
  <si>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</si>
  <si>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</si>
  <si>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</si>
  <si>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</si>
  <si>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</si>
  <si>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</si>
  <si>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</si>
  <si>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</si>
  <si>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</si>
  <si>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</si>
  <si>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</si>
  <si>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</si>
  <si>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</si>
  <si>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</si>
  <si>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</si>
  <si>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</si>
  <si>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</si>
  <si>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</si>
  <si>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</si>
  <si>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</si>
  <si>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</si>
  <si>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</si>
  <si>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</si>
  <si>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</si>
  <si>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</si>
  <si>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</si>
  <si>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</si>
  <si>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</si>
  <si>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</si>
  <si>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</si>
  <si>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</si>
  <si>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</si>
  <si>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</si>
  <si>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</si>
  <si>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</si>
  <si>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</si>
  <si>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</si>
  <si>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</si>
  <si>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</si>
  <si>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</si>
  <si>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</si>
  <si>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</si>
  <si>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</si>
  <si>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</si>
  <si>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</si>
  <si>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</si>
  <si>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</si>
  <si>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</si>
  <si>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</si>
  <si>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</si>
  <si>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</si>
  <si>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</si>
  <si>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</si>
  <si>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</si>
  <si>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</si>
  <si>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</si>
  <si>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</si>
  <si>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</si>
  <si>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</si>
  <si>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</si>
  <si>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</si>
  <si>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</si>
  <si>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</si>
  <si>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</si>
  <si>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</si>
  <si>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</si>
  <si>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</si>
  <si>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</si>
  <si>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</si>
  <si>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</si>
  <si>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</si>
  <si>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</si>
  <si>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</si>
  <si>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</si>
  <si>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</si>
  <si>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</si>
  <si>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</si>
  <si>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</si>
  <si>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</si>
  <si>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</si>
  <si>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</si>
  <si>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</si>
  <si>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</si>
  <si>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</si>
  <si>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</si>
  <si>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</si>
  <si>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</si>
  <si>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</si>
  <si>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</si>
  <si>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</si>
  <si>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</si>
  <si>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</si>
  <si>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</si>
  <si>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</si>
  <si>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</si>
  <si>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</si>
  <si>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</si>
  <si>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</si>
  <si>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</si>
  <si>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</si>
  <si>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</si>
  <si>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</si>
  <si>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</si>
  <si>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</si>
  <si>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</si>
  <si>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</si>
  <si>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</si>
  <si>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</si>
  <si>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</si>
  <si>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</si>
  <si>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</si>
  <si>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</si>
  <si>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</si>
  <si>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</si>
  <si>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</si>
  <si>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</si>
  <si>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</si>
  <si>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</si>
  <si>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</si>
  <si>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</si>
  <si>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</si>
  <si>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</si>
  <si>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</si>
  <si>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</si>
  <si>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</si>
  <si>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</si>
  <si>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</si>
  <si>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</si>
  <si>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</si>
  <si>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</si>
  <si>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</si>
  <si>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</si>
  <si>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</si>
  <si>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</si>
  <si>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</si>
  <si>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</si>
  <si>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</si>
  <si>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</si>
  <si>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</si>
  <si>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</si>
  <si>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</si>
  <si>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</si>
  <si>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</si>
  <si>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</si>
  <si>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</si>
  <si>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</si>
  <si>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</si>
  <si>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</si>
  <si>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</si>
  <si>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</si>
  <si>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</si>
  <si>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</si>
  <si>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</si>
  <si>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</si>
  <si>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</si>
  <si>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</si>
  <si>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</si>
  <si>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</si>
  <si>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</si>
  <si>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</si>
  <si>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</si>
  <si>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</si>
  <si>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</si>
  <si>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</si>
  <si>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</si>
  <si>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</si>
  <si>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</si>
  <si>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</si>
  <si>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</si>
  <si>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</si>
  <si>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</si>
  <si>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</si>
  <si>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</si>
  <si>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</si>
  <si>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</si>
  <si>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</si>
  <si>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</si>
  <si>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</si>
  <si>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</si>
  <si>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</si>
  <si>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</si>
  <si>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</si>
  <si>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</si>
  <si>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</si>
  <si>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</si>
  <si>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</si>
  <si>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</si>
  <si>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</si>
  <si>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</si>
  <si>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</si>
  <si>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</si>
  <si>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</si>
  <si>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</si>
  <si>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</si>
  <si>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</si>
  <si>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</si>
  <si>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</si>
  <si>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</si>
  <si>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</si>
  <si>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</si>
  <si>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</si>
  <si>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</si>
  <si>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</si>
  <si>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</si>
  <si>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</si>
  <si>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</si>
  <si>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</si>
  <si>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</si>
  <si>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</si>
  <si>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</si>
  <si>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</si>
  <si>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</si>
  <si>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</si>
  <si>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</si>
  <si>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</si>
  <si>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</si>
  <si>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</si>
  <si>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</si>
  <si>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</si>
  <si>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</si>
  <si>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</si>
  <si>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</si>
  <si>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</si>
  <si>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</si>
  <si>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</si>
  <si>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</si>
  <si>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</si>
  <si>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</si>
  <si>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</si>
  <si>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</si>
  <si>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</si>
  <si>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</si>
  <si>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</si>
  <si>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</si>
  <si>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</si>
  <si>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</si>
  <si>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</si>
  <si>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</si>
  <si>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</si>
  <si>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</si>
  <si>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</si>
  <si>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</si>
  <si>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</si>
  <si>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</si>
  <si>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</si>
  <si>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</si>
  <si>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</si>
  <si>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</si>
  <si>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</si>
  <si>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</si>
  <si>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</si>
  <si>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</si>
  <si>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</si>
  <si>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</si>
  <si>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</si>
  <si>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</si>
  <si>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</si>
  <si>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</si>
  <si>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</si>
  <si>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</si>
  <si>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</si>
  <si>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</si>
  <si>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</si>
  <si>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</si>
  <si>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</si>
  <si>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</si>
  <si>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</si>
  <si>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</si>
  <si>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</si>
  <si>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</si>
  <si>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</si>
  <si>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</si>
  <si>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</si>
  <si>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</si>
  <si>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</si>
  <si>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</si>
  <si>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</si>
  <si>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</si>
  <si>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</si>
  <si>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</si>
  <si>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</si>
  <si>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</si>
  <si>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</si>
  <si>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</si>
  <si>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</si>
  <si>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</si>
  <si>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</si>
  <si>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</si>
  <si>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</si>
  <si>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</si>
  <si>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</si>
  <si>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</si>
  <si>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</si>
  <si>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</si>
  <si>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</si>
  <si>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</si>
  <si>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</si>
  <si>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</si>
  <si>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</si>
  <si>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</si>
  <si>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</si>
  <si>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</si>
  <si>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</si>
  <si>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</si>
  <si>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</si>
  <si>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</si>
  <si>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</si>
  <si>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</si>
  <si>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</si>
  <si>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</si>
  <si>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</si>
  <si>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</si>
  <si>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</si>
  <si>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</si>
  <si>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</si>
  <si>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</si>
  <si>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</si>
  <si>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</si>
  <si>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</si>
  <si>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</si>
  <si>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</si>
  <si>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</si>
  <si>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</si>
  <si>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</si>
  <si>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</si>
  <si>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</si>
  <si>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</si>
  <si>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</si>
  <si>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</si>
  <si>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</si>
  <si>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</si>
  <si>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</si>
  <si>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</si>
  <si>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</si>
  <si>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</si>
  <si>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</si>
  <si>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</si>
  <si>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</si>
  <si>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</si>
  <si>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</si>
  <si>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</si>
  <si>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</si>
  <si>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</si>
  <si>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</si>
  <si>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</si>
  <si>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</si>
  <si>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</si>
  <si>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</si>
  <si>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</si>
  <si>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</si>
  <si>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</si>
  <si>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</si>
  <si>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</si>
  <si>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</si>
  <si>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</si>
  <si>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</si>
  <si>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</si>
  <si>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</si>
  <si>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</si>
  <si>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</si>
  <si>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</si>
  <si>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</si>
  <si>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</si>
  <si>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</si>
  <si>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</si>
  <si>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</si>
  <si>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</si>
  <si>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</si>
  <si>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</si>
  <si>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</si>
  <si>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</si>
  <si>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</si>
  <si>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</si>
  <si>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</si>
  <si>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</si>
  <si>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</si>
  <si>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</si>
  <si>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</si>
  <si>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</si>
  <si>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</si>
  <si>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</si>
  <si>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</si>
  <si>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</si>
  <si>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</si>
  <si>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</si>
  <si>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</si>
  <si>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</si>
  <si>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</si>
  <si>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</si>
  <si>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</si>
  <si>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</si>
  <si>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</si>
  <si>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</si>
  <si>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</si>
  <si>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</si>
  <si>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</si>
  <si>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</si>
  <si>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</si>
  <si>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</si>
  <si>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</si>
  <si>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</si>
  <si>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</si>
  <si>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</si>
  <si>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</si>
  <si>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</si>
  <si>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</si>
  <si>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</si>
  <si>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</si>
  <si>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</si>
  <si>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</si>
  <si>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</si>
  <si>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</si>
  <si>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</si>
  <si>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</si>
  <si>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</si>
  <si>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</si>
  <si>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</si>
  <si>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</si>
  <si>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</si>
  <si>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</si>
  <si>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</si>
  <si>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</si>
  <si>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</si>
  <si>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</si>
  <si>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</si>
  <si>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</si>
  <si>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</si>
  <si>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</si>
  <si>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</si>
  <si>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</si>
  <si>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</si>
  <si>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</si>
  <si>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</si>
  <si>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</si>
  <si>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</si>
  <si>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</si>
  <si>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</si>
  <si>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</si>
  <si>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</si>
  <si>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</si>
  <si>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</si>
  <si>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</si>
  <si>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</si>
  <si>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</si>
  <si>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</si>
  <si>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</si>
  <si>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</si>
  <si>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</si>
  <si>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</si>
  <si>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</si>
  <si>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</si>
  <si>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</si>
  <si>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</si>
  <si>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</si>
  <si>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</si>
  <si>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</si>
  <si>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</si>
  <si>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</si>
  <si>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</si>
  <si>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</si>
  <si>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</si>
  <si>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</si>
  <si>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</si>
  <si>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</si>
  <si>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</si>
  <si>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</si>
  <si>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</si>
  <si>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</si>
  <si>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</si>
  <si>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</si>
  <si>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</si>
  <si>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</si>
  <si>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</si>
  <si>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</si>
  <si>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</si>
  <si>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</si>
  <si>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</si>
  <si>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</si>
  <si>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</si>
  <si>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</si>
  <si>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</si>
  <si>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</si>
  <si>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</si>
  <si>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</si>
  <si>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</si>
  <si>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</si>
  <si>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</si>
  <si>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</si>
  <si>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</si>
  <si>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</si>
  <si>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</si>
  <si>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</si>
  <si>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</si>
  <si>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</si>
  <si>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</si>
  <si>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</si>
  <si>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</si>
  <si>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</si>
  <si>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</si>
  <si>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</si>
  <si>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</si>
  <si>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</si>
  <si>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</si>
  <si>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</si>
  <si>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</si>
  <si>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</si>
  <si>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</si>
  <si>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</si>
  <si>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</si>
  <si>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</si>
  <si>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</si>
  <si>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</si>
  <si>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</si>
  <si>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</si>
  <si>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</si>
  <si>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</si>
  <si>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</si>
  <si>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</si>
  <si>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</si>
  <si>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</si>
  <si>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</si>
  <si>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</si>
  <si>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</si>
  <si>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</si>
  <si>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</si>
  <si>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</si>
  <si>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</si>
  <si>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</si>
  <si>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</si>
  <si>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</si>
  <si>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</si>
  <si>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</si>
  <si>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</si>
  <si>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</si>
  <si>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</si>
  <si>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</si>
  <si>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</si>
  <si>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</si>
  <si>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</si>
  <si>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</si>
  <si>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</si>
  <si>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</si>
  <si>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</si>
  <si>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</si>
  <si>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</si>
  <si>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</si>
  <si>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</si>
  <si>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</si>
  <si>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</si>
  <si>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</si>
  <si>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</si>
  <si>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</si>
  <si>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</si>
  <si>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</si>
  <si>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</si>
  <si>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</si>
  <si>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</si>
  <si>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</si>
  <si>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</si>
  <si>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</si>
  <si>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</si>
  <si>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</si>
  <si>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</si>
  <si>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</si>
  <si>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</si>
  <si>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</si>
  <si>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</si>
  <si>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</si>
  <si>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</si>
  <si>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</si>
  <si>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</si>
  <si>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</si>
  <si>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</si>
  <si>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</si>
  <si>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</si>
  <si>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</si>
  <si>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</si>
  <si>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</si>
  <si>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</si>
  <si>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</si>
  <si>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</si>
  <si>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</si>
  <si>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</si>
  <si>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</si>
  <si>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</si>
  <si>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</si>
  <si>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</si>
  <si>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</si>
  <si>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</si>
  <si>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</si>
  <si>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</si>
  <si>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</si>
  <si>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</si>
  <si>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</si>
  <si>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</si>
  <si>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</si>
  <si>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</si>
  <si>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</si>
  <si>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</si>
  <si>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</si>
  <si>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</si>
  <si>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</si>
  <si>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</si>
  <si>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</si>
  <si>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</si>
  <si>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</si>
  <si>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</si>
  <si>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</si>
  <si>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</si>
  <si>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</si>
  <si>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</si>
  <si>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</si>
  <si>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</si>
  <si>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</si>
  <si>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</si>
  <si>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</si>
  <si>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</si>
  <si>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</si>
  <si>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</si>
  <si>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</si>
  <si>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</si>
  <si>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</si>
  <si>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</si>
  <si>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</si>
  <si>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</si>
  <si>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</si>
  <si>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</si>
  <si>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</si>
  <si>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</si>
  <si>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</si>
  <si>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</si>
  <si>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</si>
  <si>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</si>
  <si>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</si>
  <si>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</si>
  <si>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</si>
  <si>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</si>
  <si>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</si>
  <si>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</si>
  <si>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</si>
  <si>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</si>
  <si>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</si>
  <si>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</si>
  <si>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</si>
  <si>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</si>
  <si>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</si>
  <si>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</si>
  <si>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</si>
  <si>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</si>
  <si>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</si>
  <si>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</si>
  <si>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</si>
  <si>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</si>
  <si>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</si>
  <si>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</si>
  <si>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</si>
  <si>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</si>
  <si>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</si>
  <si>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</si>
  <si>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</si>
  <si>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</si>
  <si>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</si>
  <si>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</si>
  <si>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</si>
  <si>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</si>
  <si>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</si>
  <si>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</si>
  <si>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</si>
  <si>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</si>
  <si>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</si>
  <si>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</si>
  <si>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</si>
  <si>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</si>
  <si>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</si>
  <si>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</si>
  <si>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</si>
  <si>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</si>
  <si>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</si>
  <si>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</si>
  <si>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</si>
  <si>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</si>
  <si>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</si>
  <si>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</si>
  <si>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</si>
  <si>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</si>
  <si>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</si>
  <si>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</si>
  <si>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</si>
  <si>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</si>
  <si>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</si>
  <si>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</si>
  <si>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</si>
  <si>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</si>
  <si>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</si>
  <si>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</si>
  <si>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</si>
  <si>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</si>
  <si>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</si>
  <si>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</si>
  <si>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</si>
  <si>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</si>
  <si>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</si>
  <si>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</si>
  <si>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</si>
  <si>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</si>
  <si>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</si>
  <si>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</si>
  <si>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</si>
  <si>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</si>
  <si>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</si>
  <si>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</si>
  <si>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</si>
  <si>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</si>
  <si>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</si>
  <si>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</si>
  <si>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</si>
  <si>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</si>
  <si>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</si>
  <si>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</si>
  <si>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</si>
  <si>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</si>
  <si>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</si>
  <si>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</si>
  <si>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</si>
  <si>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</si>
  <si>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</si>
  <si>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</si>
  <si>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</si>
  <si>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</si>
  <si>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</si>
  <si>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</si>
  <si>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</si>
  <si>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</si>
  <si>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</si>
  <si>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</si>
  <si>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</si>
  <si>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</si>
  <si>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</si>
  <si>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</si>
  <si>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</si>
  <si>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</si>
  <si>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</si>
  <si>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</si>
  <si>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</si>
  <si>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</si>
  <si>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</si>
  <si>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</si>
  <si>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</si>
  <si>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</si>
  <si>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</si>
  <si>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</si>
  <si>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</si>
  <si>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</si>
  <si>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</si>
  <si>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</si>
  <si>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</si>
  <si>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</si>
  <si>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</si>
  <si>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</si>
  <si>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</si>
  <si>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</si>
  <si>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</si>
  <si>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</si>
  <si>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</si>
  <si>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</si>
  <si>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</si>
  <si>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</si>
  <si>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</si>
  <si>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</si>
  <si>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</si>
  <si>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</si>
  <si>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</si>
  <si>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</si>
  <si>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</si>
  <si>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</si>
  <si>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</si>
  <si>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</si>
  <si>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</si>
  <si>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</si>
  <si>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</si>
  <si>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</si>
  <si>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</si>
  <si>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</si>
  <si>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</si>
  <si>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</si>
  <si>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</si>
  <si>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</si>
  <si>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</si>
  <si>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</si>
  <si>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</si>
  <si>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</si>
  <si>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</si>
  <si>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</si>
  <si>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</si>
  <si>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</si>
  <si>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</si>
  <si>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</si>
  <si>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</si>
  <si>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</si>
  <si>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</si>
  <si>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</si>
  <si>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</si>
  <si>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</si>
  <si>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</si>
  <si>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</si>
  <si>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</si>
  <si>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</si>
  <si>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</si>
  <si>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</si>
  <si>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</si>
  <si>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</si>
  <si>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</si>
  <si>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</si>
  <si>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</si>
  <si>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</si>
  <si>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</si>
  <si>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</si>
  <si>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</si>
  <si>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</si>
  <si>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</si>
  <si>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</si>
  <si>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</si>
  <si>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</si>
  <si>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</si>
  <si>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</si>
  <si>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</si>
  <si>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</si>
  <si>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</si>
  <si>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</si>
  <si>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</si>
  <si>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</si>
  <si>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</si>
  <si>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</si>
  <si>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</si>
  <si>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</si>
  <si>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</si>
  <si>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</si>
  <si>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</si>
  <si>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</si>
  <si>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</si>
  <si>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</si>
  <si>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</si>
  <si>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</si>
  <si>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</si>
  <si>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</si>
  <si>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</si>
  <si>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</si>
  <si>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</si>
  <si>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</si>
  <si>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</si>
  <si>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</si>
  <si>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</si>
  <si>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</si>
  <si>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</si>
  <si>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</si>
  <si>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</si>
  <si>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</si>
  <si>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</si>
  <si>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</si>
  <si>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</si>
  <si>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</si>
  <si>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</si>
  <si>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</si>
  <si>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</si>
  <si>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</si>
  <si>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</si>
  <si>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</si>
  <si>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</si>
  <si>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</si>
  <si>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</si>
  <si>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</si>
  <si>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</si>
  <si>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</si>
  <si>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</si>
  <si>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</si>
  <si>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</si>
  <si>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</si>
  <si>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</si>
  <si>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</si>
  <si>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</si>
  <si>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</si>
  <si>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</si>
  <si>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</si>
  <si>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</si>
  <si>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</si>
  <si>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</si>
  <si>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</si>
  <si>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</si>
  <si>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</si>
  <si>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</si>
  <si>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</si>
  <si>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</si>
  <si>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</si>
  <si>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</si>
  <si>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</si>
  <si>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</si>
  <si>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</si>
  <si>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</si>
  <si>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</si>
  <si>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</si>
  <si>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</si>
  <si>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</si>
  <si>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</si>
  <si>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</si>
  <si>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</si>
  <si>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</si>
  <si>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</si>
  <si>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</si>
  <si>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</si>
  <si>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</si>
  <si>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</si>
  <si>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</si>
  <si>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</si>
  <si>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</si>
  <si>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</si>
  <si>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</si>
  <si>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</si>
  <si>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</si>
  <si>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</si>
  <si>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</si>
  <si>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</si>
  <si>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</si>
  <si>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</si>
  <si>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</si>
  <si>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</si>
  <si>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</si>
  <si>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</si>
  <si>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</si>
  <si>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</si>
  <si>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</si>
  <si>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</si>
  <si>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</si>
  <si>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</si>
  <si>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</si>
  <si>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</si>
  <si>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</si>
  <si>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</si>
  <si>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</si>
  <si>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</si>
  <si>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</si>
  <si>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</si>
  <si>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</si>
  <si>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</si>
  <si>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</si>
  <si>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</si>
  <si>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</si>
  <si>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</si>
  <si>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</si>
  <si>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</si>
  <si>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</si>
  <si>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</si>
  <si>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</si>
  <si>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</si>
  <si>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</si>
  <si>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</si>
  <si>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</si>
  <si>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</si>
  <si>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</si>
  <si>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</si>
  <si>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</si>
  <si>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</si>
  <si>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</si>
  <si>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</si>
  <si>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</si>
  <si>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</si>
  <si>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</si>
  <si>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</si>
  <si>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</si>
  <si>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</si>
  <si>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</si>
  <si>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</si>
  <si>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</si>
  <si>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</si>
  <si>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</si>
  <si>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</si>
  <si>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</si>
  <si>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</si>
  <si>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</si>
  <si>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</si>
  <si>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</si>
  <si>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</si>
  <si>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</si>
  <si>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</si>
  <si>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</si>
  <si>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</si>
  <si>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</si>
  <si>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</si>
  <si>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</si>
  <si>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</si>
  <si>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</si>
  <si>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</si>
  <si>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</si>
  <si>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</si>
  <si>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</si>
  <si>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</si>
  <si>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</si>
  <si>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</si>
  <si>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</si>
  <si>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</si>
  <si>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</si>
  <si>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</si>
  <si>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</si>
  <si>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</si>
  <si>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</si>
  <si>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</si>
  <si>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</si>
  <si>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</si>
  <si>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</si>
  <si>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</si>
  <si>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</si>
  <si>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</si>
  <si>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</si>
  <si>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</si>
  <si>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</si>
  <si>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</si>
  <si>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</si>
  <si>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</si>
  <si>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</si>
  <si>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</si>
  <si>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</si>
  <si>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</si>
  <si>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</si>
  <si>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</si>
  <si>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</si>
  <si>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</si>
  <si>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</si>
  <si>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</si>
  <si>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</si>
  <si>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</si>
  <si>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</si>
  <si>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</si>
  <si>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</si>
  <si>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</si>
  <si>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</si>
  <si>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</si>
  <si>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</si>
  <si>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</si>
  <si>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</si>
  <si>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</si>
  <si>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</si>
  <si>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</si>
  <si>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</si>
  <si>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</si>
  <si>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</si>
  <si>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</si>
  <si>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</si>
  <si>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</si>
  <si>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</si>
  <si>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</si>
  <si>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</si>
  <si>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</si>
  <si>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</si>
  <si>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</si>
  <si>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</si>
  <si>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</si>
  <si>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</si>
  <si>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</si>
  <si>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</si>
  <si>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</si>
  <si>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</si>
  <si>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</si>
  <si>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</si>
  <si>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</si>
  <si>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</si>
  <si>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</si>
  <si>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</si>
  <si>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</si>
  <si>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</si>
  <si>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</si>
  <si>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</si>
  <si>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</si>
  <si>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</si>
  <si>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</si>
  <si>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</si>
  <si>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</si>
  <si>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</si>
  <si>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</si>
  <si>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</si>
  <si>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</si>
  <si>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</si>
  <si>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</si>
  <si>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</si>
  <si>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</si>
  <si>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</si>
  <si>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</si>
  <si>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</si>
  <si>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</si>
  <si>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</si>
  <si>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</si>
  <si>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</si>
  <si>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</si>
  <si>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</si>
  <si>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</si>
  <si>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</si>
  <si>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</si>
  <si>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</si>
  <si>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</si>
  <si>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</si>
  <si>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</si>
  <si>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</si>
  <si>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</si>
  <si>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</si>
  <si>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</si>
  <si>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</si>
  <si>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</si>
  <si>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</si>
  <si>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</si>
  <si>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</si>
  <si>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</si>
  <si>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</si>
  <si>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</si>
  <si>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</si>
  <si>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</si>
  <si>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</si>
  <si>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</si>
  <si>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</si>
  <si>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</si>
  <si>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</si>
  <si>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</si>
  <si>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</si>
  <si>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</si>
  <si>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</si>
  <si>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</si>
  <si>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</si>
  <si>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</si>
  <si>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</si>
  <si>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</si>
  <si>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</si>
  <si>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</si>
  <si>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</si>
  <si>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</si>
  <si>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</si>
  <si>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</si>
  <si>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</si>
  <si>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</si>
  <si>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</si>
  <si>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</si>
  <si>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</si>
  <si>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</si>
  <si>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</si>
  <si>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</si>
  <si>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</si>
  <si>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</si>
  <si>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</si>
  <si>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</si>
  <si>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</si>
  <si>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</si>
  <si>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</si>
  <si>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</si>
  <si>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</si>
  <si>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</si>
  <si>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</si>
  <si>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</si>
  <si>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</si>
  <si>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</si>
  <si>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</si>
  <si>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</si>
  <si>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</si>
  <si>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</si>
  <si>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</si>
  <si>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</si>
  <si>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</si>
  <si>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</si>
  <si>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</si>
  <si>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</si>
  <si>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</si>
  <si>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</si>
  <si>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</si>
  <si>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</si>
  <si>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</si>
  <si>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</si>
  <si>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</si>
  <si>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</si>
  <si>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</si>
  <si>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</si>
  <si>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</si>
  <si>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</si>
  <si>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</si>
  <si>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</si>
  <si>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</si>
  <si>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</si>
  <si>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</si>
  <si>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</si>
  <si>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</si>
  <si>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</si>
  <si>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</si>
  <si>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</si>
  <si>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</si>
  <si>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</si>
  <si>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</si>
  <si>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</si>
  <si>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</si>
  <si>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</si>
  <si>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</si>
  <si>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</si>
  <si>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</si>
  <si>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</si>
  <si>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</si>
  <si>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</si>
  <si>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</si>
  <si>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</si>
  <si>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</si>
  <si>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</si>
  <si>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</si>
  <si>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</si>
  <si>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</si>
  <si>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</si>
  <si>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</si>
  <si>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</si>
  <si>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</si>
  <si>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</si>
  <si>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</si>
  <si>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</si>
  <si>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</si>
  <si>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</si>
  <si>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</si>
  <si>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</si>
  <si>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</si>
  <si>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</si>
  <si>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</si>
  <si>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</si>
  <si>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</si>
  <si>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</si>
  <si>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</si>
  <si>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</si>
  <si>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</si>
  <si>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</si>
  <si>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</si>
  <si>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</si>
  <si>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</si>
  <si>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</si>
  <si>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</si>
  <si>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</si>
  <si>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</si>
  <si>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</si>
  <si>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</si>
  <si>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</si>
  <si>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</si>
  <si>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</si>
  <si>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</si>
  <si>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</si>
  <si>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</si>
  <si>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</si>
  <si>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</si>
  <si>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</si>
  <si>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</si>
  <si>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</si>
  <si>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</si>
  <si>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</si>
  <si>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</si>
  <si>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</si>
  <si>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</si>
  <si>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</si>
  <si>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</si>
  <si>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</si>
  <si>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</si>
  <si>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</si>
  <si>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</si>
  <si>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</si>
  <si>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</si>
  <si>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</si>
  <si>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</si>
  <si>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</si>
  <si>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</si>
  <si>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</si>
  <si>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</si>
  <si>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</si>
  <si>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</si>
  <si>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</si>
  <si>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</si>
  <si>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</si>
  <si>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</si>
  <si>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</si>
  <si>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</si>
  <si>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</si>
  <si>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</si>
  <si>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</si>
  <si>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</si>
  <si>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</si>
  <si>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</si>
  <si>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</si>
  <si>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</si>
  <si>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</si>
  <si>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</si>
  <si>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</si>
  <si>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</si>
  <si>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</si>
  <si>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</si>
  <si>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</si>
  <si>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</si>
  <si>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</si>
  <si>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</si>
  <si>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</si>
  <si>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</si>
  <si>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</si>
  <si>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</si>
  <si>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</si>
  <si>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</si>
  <si>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</si>
  <si>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</si>
  <si>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</si>
  <si>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</si>
  <si>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</si>
  <si>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</si>
  <si>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</si>
  <si>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</si>
  <si>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</si>
  <si>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</si>
  <si>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</si>
  <si>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</si>
  <si>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</si>
  <si>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</si>
  <si>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</si>
  <si>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</si>
  <si>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</si>
  <si>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</si>
  <si>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</si>
  <si>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</si>
  <si>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</si>
  <si>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</si>
  <si>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</si>
  <si>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</si>
  <si>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</si>
  <si>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</si>
  <si>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</si>
  <si>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</si>
  <si>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</si>
  <si>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</si>
  <si>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</si>
  <si>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</si>
  <si>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</si>
  <si>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</si>
  <si>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</si>
  <si>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</si>
  <si>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</si>
  <si>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</si>
  <si>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</si>
  <si>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</si>
  <si>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</si>
  <si>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</si>
  <si>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</si>
  <si>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</si>
  <si>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</si>
  <si>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</si>
  <si>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</si>
  <si>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</si>
  <si>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</si>
  <si>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</si>
  <si>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</si>
  <si>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</si>
  <si>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</si>
  <si>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</si>
  <si>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</si>
  <si>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</si>
  <si>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</si>
  <si>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</si>
  <si>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</si>
  <si>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</si>
  <si>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</si>
  <si>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</si>
  <si>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</si>
  <si>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</si>
  <si>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</si>
  <si>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</si>
  <si>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</si>
  <si>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</si>
  <si>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</si>
  <si>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</si>
  <si>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</si>
  <si>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</si>
  <si>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</si>
  <si>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</si>
  <si>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</si>
  <si>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</si>
  <si>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</si>
  <si>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</si>
  <si>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</si>
  <si>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</si>
  <si>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</si>
  <si>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</si>
  <si>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</si>
  <si>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</si>
  <si>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</si>
  <si>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</si>
  <si>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</si>
  <si>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</si>
  <si>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</si>
  <si>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</si>
  <si>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</si>
  <si>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</si>
  <si>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</si>
  <si>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</si>
  <si>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</si>
  <si>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</si>
  <si>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</si>
  <si>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</si>
  <si>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</si>
  <si>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</si>
  <si>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</si>
  <si>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</si>
  <si>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</si>
  <si>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</si>
  <si>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</si>
  <si>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</si>
  <si>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</si>
  <si>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</si>
  <si>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</si>
  <si>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</si>
  <si>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</si>
  <si>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</si>
  <si>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</si>
  <si>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</si>
  <si>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</si>
  <si>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</si>
  <si>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</si>
  <si>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</si>
  <si>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</si>
  <si>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</si>
  <si>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</si>
  <si>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</si>
  <si>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</si>
  <si>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</si>
  <si>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</si>
  <si>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</si>
  <si>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</si>
  <si>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</si>
  <si>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</si>
  <si>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</si>
  <si>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</si>
  <si>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</si>
  <si>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</si>
  <si>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</si>
  <si>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</si>
  <si>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</si>
  <si>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</si>
  <si>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</si>
  <si>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</si>
  <si>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</si>
  <si>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</si>
  <si>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</si>
  <si>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</si>
  <si>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</si>
  <si>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</si>
  <si>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</si>
  <si>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</si>
  <si>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</si>
  <si>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</si>
  <si>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</si>
  <si>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</si>
  <si>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</si>
  <si>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</si>
  <si>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</si>
  <si>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</si>
  <si>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</si>
  <si>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</si>
  <si>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</si>
  <si>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</si>
  <si>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</si>
  <si>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</si>
  <si>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</si>
  <si>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</si>
  <si>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</si>
  <si>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</si>
  <si>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</si>
  <si>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</si>
  <si>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</si>
  <si>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</si>
  <si>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48267 SVEUČILIŠTE SJEVER</t>
  </si>
  <si>
    <t>Martina Kliček</t>
  </si>
  <si>
    <t>042/493-332; 042/493-389</t>
  </si>
  <si>
    <t>mklicek@unin.hr; racunovodstvo@unin.hr</t>
  </si>
  <si>
    <t>HRVATSKA ZAKLADA ZA ZNANOST (52209)</t>
  </si>
  <si>
    <t>AGENCIJA ZA MOBILNOST I PROGRAME EUROPSKE UNIJE (43335)</t>
  </si>
  <si>
    <t>Interreg CE0100127 Rail4Regions</t>
  </si>
  <si>
    <t>01.03.2023.</t>
  </si>
  <si>
    <t>01.03.2025.</t>
  </si>
  <si>
    <t>·         Thuringian Ministry for Infrastructure and Agriculture (Ministarstvo za infrastrukturu i poljoprivredu, Turingia, Njemačka)</t>
  </si>
  <si>
    <t>ERASMUS+ Agreement n° 2021-1-SE01-KA220-VET-000028000</t>
  </si>
  <si>
    <t>01.02.2022.</t>
  </si>
  <si>
    <t>31.01.2025.</t>
  </si>
  <si>
    <t>2022-HR01-KA171-HED-000077809</t>
  </si>
  <si>
    <t>01.08.2022.</t>
  </si>
  <si>
    <t>31.07.2025.</t>
  </si>
  <si>
    <t>Agencija za mobilnost i programe EU</t>
  </si>
  <si>
    <t>2022-1-HR01-KA131-HED-00064208</t>
  </si>
  <si>
    <t>01.06.2022.</t>
  </si>
  <si>
    <t>31.07.2024.</t>
  </si>
  <si>
    <t>31-07-2024.</t>
  </si>
  <si>
    <t>2023-1-HR01-KA171-HED-000140685</t>
  </si>
  <si>
    <t>01.08.2023.</t>
  </si>
  <si>
    <t>31.07.2026.</t>
  </si>
  <si>
    <t>2023-1-HR01-KA171-HED-000125669</t>
  </si>
  <si>
    <t>01.06.2023.</t>
  </si>
  <si>
    <t>DIS4SME</t>
  </si>
  <si>
    <t>01.01.2023.</t>
  </si>
  <si>
    <t>GISIG GEOGRAFPHICAL INFORAMTION SYSTEM INT. GROUP</t>
  </si>
  <si>
    <t>'Ocellus Information Systems AB</t>
  </si>
  <si>
    <t>Sveučilište u Mostaru</t>
  </si>
  <si>
    <t>Fond za zaštitu okoliša i energetsku učinkovitost</t>
  </si>
  <si>
    <t>Thuringian Ministry for Infrastructure and Agriculture (Ministarstvo za infrastrukturu i poljoprivredu, Turingia, Njemačka)</t>
  </si>
  <si>
    <t>Varaždin, 21.12.2023.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</si>
</sst>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5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3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 applyProtection="1"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Normalno" xfId="0" builtinId="0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zoomScaleNormal="100" workbookViewId="0">
      <selection activeCell="C2" sqref="C2:G2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79" t="s">
        <v>4821</v>
      </c>
      <c r="D1" s="380"/>
      <c r="E1" s="380"/>
      <c r="F1" s="380"/>
      <c r="G1" s="381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82" t="s">
        <v>4854</v>
      </c>
      <c r="D2" s="383"/>
      <c r="E2" s="383"/>
      <c r="F2" s="383"/>
      <c r="G2" s="384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82" t="s">
        <v>4822</v>
      </c>
      <c r="D3" s="383"/>
      <c r="E3" s="383"/>
      <c r="F3" s="383"/>
      <c r="G3" s="384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82" t="s">
        <v>4823</v>
      </c>
      <c r="D4" s="383"/>
      <c r="E4" s="383"/>
      <c r="F4" s="383"/>
      <c r="G4" s="384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82" t="s">
        <v>4824</v>
      </c>
      <c r="D5" s="383"/>
      <c r="E5" s="383"/>
      <c r="F5" s="383"/>
      <c r="G5" s="384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75" t="s">
        <v>4049</v>
      </c>
      <c r="C7" s="375"/>
      <c r="D7" s="375"/>
      <c r="E7" s="376"/>
      <c r="F7" s="376"/>
      <c r="G7" s="376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75" t="s">
        <v>3</v>
      </c>
      <c r="C9" s="375"/>
      <c r="D9" s="375"/>
      <c r="E9" s="376"/>
      <c r="F9" s="376"/>
      <c r="G9" s="376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77" t="s">
        <v>3879</v>
      </c>
      <c r="C11" s="377"/>
      <c r="D11" s="377"/>
      <c r="E11" s="378"/>
      <c r="F11" s="378"/>
      <c r="G11" s="378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9954508.1699999999</v>
      </c>
      <c r="D14" s="61">
        <f>SUM(D15:D16)</f>
        <v>11627092</v>
      </c>
      <c r="E14" s="61">
        <f>SUM(E15:E16)</f>
        <v>13911332</v>
      </c>
      <c r="F14" s="61">
        <f>+F15+F16</f>
        <v>11913326</v>
      </c>
      <c r="G14" s="61">
        <f>+G15+G16</f>
        <v>11998382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1">
        <f>6453161.44+3500566.32</f>
        <v>9953727.7599999998</v>
      </c>
      <c r="D15" s="371">
        <v>11624438</v>
      </c>
      <c r="E15" s="64">
        <f>'A.1 PRIHODI I RASHODI EK'!F11</f>
        <v>13908678</v>
      </c>
      <c r="F15" s="64">
        <f>'A.1 PRIHODI I RASHODI EK'!G11</f>
        <v>11910672</v>
      </c>
      <c r="G15" s="64">
        <f>'A.1 PRIHODI I RASHODI EK'!H11</f>
        <v>11995728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1">
        <v>780.41</v>
      </c>
      <c r="D16" s="371">
        <v>2654</v>
      </c>
      <c r="E16" s="64">
        <f>'A.1 PRIHODI I RASHODI EK'!F19</f>
        <v>2654</v>
      </c>
      <c r="F16" s="64">
        <f>'A.1 PRIHODI I RASHODI EK'!G19</f>
        <v>2654</v>
      </c>
      <c r="G16" s="64">
        <f>'A.1 PRIHODI I RASHODI EK'!H19</f>
        <v>2654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10663167</v>
      </c>
      <c r="D17" s="68">
        <f>SUM(D18:D19)</f>
        <v>16224539</v>
      </c>
      <c r="E17" s="68">
        <f>SUM(E18:E19)</f>
        <v>18424789</v>
      </c>
      <c r="F17" s="68">
        <f>+F18+F19</f>
        <v>11873117</v>
      </c>
      <c r="G17" s="68">
        <f>+G18+G19</f>
        <v>11589927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68">
        <v>9720082</v>
      </c>
      <c r="D18" s="368">
        <v>11642408</v>
      </c>
      <c r="E18" s="69">
        <f>'A.1 PRIHODI I RASHODI EK'!F27</f>
        <v>11891990</v>
      </c>
      <c r="F18" s="69">
        <f>'A.1 PRIHODI I RASHODI EK'!G27</f>
        <v>11309106</v>
      </c>
      <c r="G18" s="69">
        <f>'A.1 PRIHODI I RASHODI EK'!H27</f>
        <v>11022916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68">
        <v>943085</v>
      </c>
      <c r="D19" s="368">
        <v>4582131</v>
      </c>
      <c r="E19" s="69">
        <f>'A.1 PRIHODI I RASHODI EK'!F35</f>
        <v>6532799</v>
      </c>
      <c r="F19" s="69">
        <f>'A.1 PRIHODI I RASHODI EK'!G35</f>
        <v>564011</v>
      </c>
      <c r="G19" s="69">
        <f>'A.1 PRIHODI I RASHODI EK'!H35</f>
        <v>567011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-708658.83000000007</v>
      </c>
      <c r="D20" s="61">
        <f>+D14-D17</f>
        <v>-4597447</v>
      </c>
      <c r="E20" s="61">
        <f>+E14-E17</f>
        <v>-4513457</v>
      </c>
      <c r="F20" s="61">
        <f>+F14-F17</f>
        <v>40209</v>
      </c>
      <c r="G20" s="61">
        <f>+G14-G17</f>
        <v>408455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73"/>
      <c r="C21" s="373"/>
      <c r="D21" s="373"/>
      <c r="E21" s="374"/>
      <c r="F21" s="374"/>
      <c r="G21" s="374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75" t="s">
        <v>3881</v>
      </c>
      <c r="C22" s="375"/>
      <c r="D22" s="375"/>
      <c r="E22" s="376"/>
      <c r="F22" s="376"/>
      <c r="G22" s="376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1">
        <v>0</v>
      </c>
      <c r="D25" s="371">
        <v>0</v>
      </c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1">
        <v>0</v>
      </c>
      <c r="D26" s="371">
        <v>0</v>
      </c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68">
        <v>3921073.46</v>
      </c>
      <c r="D28" s="368">
        <v>4742197</v>
      </c>
      <c r="E28" s="69">
        <f>+'Unos prijenosa'!D5</f>
        <v>5018722</v>
      </c>
      <c r="F28" s="69">
        <f>+'Unos prijenosa'!D13</f>
        <v>505265</v>
      </c>
      <c r="G28" s="69">
        <f>+'Unos prijenosa'!D21</f>
        <v>545474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69">
        <v>-3212415</v>
      </c>
      <c r="D29" s="369">
        <v>-144750</v>
      </c>
      <c r="E29" s="72">
        <f>+'Unos prijenosa'!D7</f>
        <v>-505265</v>
      </c>
      <c r="F29" s="72">
        <f>+'Unos prijenosa'!D15</f>
        <v>-545474</v>
      </c>
      <c r="G29" s="73">
        <f>+'Unos prijenosa'!D23</f>
        <v>-953929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708658.46</v>
      </c>
      <c r="D30" s="68">
        <f>+D27+D28+D29</f>
        <v>4597447</v>
      </c>
      <c r="E30" s="68">
        <f>+E27+E28+E29</f>
        <v>4513457</v>
      </c>
      <c r="F30" s="68">
        <f t="shared" ref="F30:G30" si="3">+F27+F28+F29</f>
        <v>-40209</v>
      </c>
      <c r="G30" s="68">
        <f t="shared" si="3"/>
        <v>-408455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73"/>
      <c r="C31" s="373"/>
      <c r="D31" s="373"/>
      <c r="E31" s="374"/>
      <c r="F31" s="374"/>
      <c r="G31" s="374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-0.37000000011175871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8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view="pageBreakPreview" zoomScale="60" zoomScaleNormal="100" workbookViewId="0">
      <pane ySplit="2" topLeftCell="A3" activePane="bottomLeft" state="frozen"/>
      <selection pane="bottomLeft" activeCell="E25" sqref="E25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5" t="s">
        <v>4040</v>
      </c>
      <c r="B1" s="385"/>
      <c r="C1" s="385"/>
      <c r="D1" s="385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9324556</v>
      </c>
      <c r="H3" s="224">
        <v>6851315</v>
      </c>
      <c r="I3" s="224">
        <v>6854990</v>
      </c>
      <c r="J3" s="49"/>
      <c r="K3" t="str">
        <f>IF(E3="","",'OPĆI DIO'!$C$1)</f>
        <v>48267 SVEUČILIŠTE SJEVER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11</v>
      </c>
      <c r="D4" s="38" t="str">
        <f t="shared" ref="D4:D66" si="4">IFERROR(VLOOKUP(E4,$R$6:$U$113,4,FALSE),"")</f>
        <v>Opći prihodi i primici</v>
      </c>
      <c r="E4" s="322" t="s">
        <v>642</v>
      </c>
      <c r="F4" s="86" t="str">
        <f t="shared" ref="F4:F66" si="5">IFERROR(VLOOKUP(E4,$R$6:$U$113,2,FALSE),"")</f>
        <v>Prihodi iz nadležnog proračuna za financiranje redovne djelatnosti proračunskih korisnika</v>
      </c>
      <c r="G4" s="224">
        <v>1244260</v>
      </c>
      <c r="H4" s="224">
        <v>1244260</v>
      </c>
      <c r="I4" s="224">
        <v>1244260</v>
      </c>
      <c r="J4" s="49"/>
      <c r="K4" s="246" t="str">
        <f>IF(E4="","",'OPĆI DIO'!$C$1)</f>
        <v>48267 SVEUČILIŠTE SJEVER</v>
      </c>
      <c r="L4" s="40" t="str">
        <f t="shared" ref="L4:L67" si="6">LEFT(E4,2)</f>
        <v>67</v>
      </c>
      <c r="M4" s="40" t="str">
        <f t="shared" ref="M4:M67" si="7">LEFT(E4,3)</f>
        <v>671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11</v>
      </c>
      <c r="D5" s="38" t="str">
        <f t="shared" si="4"/>
        <v>Opći prihodi i primici</v>
      </c>
      <c r="E5" s="322" t="s">
        <v>642</v>
      </c>
      <c r="F5" s="86" t="str">
        <f t="shared" si="5"/>
        <v>Prihodi iz nadležnog proračuna za financiranje redovne djelatnosti proračunskih korisnika</v>
      </c>
      <c r="G5" s="224">
        <v>50276</v>
      </c>
      <c r="H5" s="224">
        <v>50276</v>
      </c>
      <c r="I5" s="224">
        <v>50276</v>
      </c>
      <c r="J5" s="49"/>
      <c r="K5" s="246" t="str">
        <f>IF(E5="","",'OPĆI DIO'!$C$1)</f>
        <v>48267 SVEUČILIŠTE SJEVER</v>
      </c>
      <c r="L5" s="40" t="str">
        <f t="shared" si="6"/>
        <v>67</v>
      </c>
      <c r="M5" s="40" t="str">
        <f t="shared" si="7"/>
        <v>671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/>
      </c>
      <c r="B6" s="319" t="str">
        <f>IF(E6="","",VLOOKUP('OPĆI DIO'!$C$1,'OPĆI DIO'!$N$4:$W$137,9,FALSE))</f>
        <v/>
      </c>
      <c r="C6" s="83" t="str">
        <f t="shared" si="3"/>
        <v/>
      </c>
      <c r="D6" s="38" t="str">
        <f t="shared" si="4"/>
        <v/>
      </c>
      <c r="E6" s="322"/>
      <c r="F6" s="86" t="str">
        <f t="shared" si="5"/>
        <v/>
      </c>
      <c r="G6" s="224"/>
      <c r="H6" s="224"/>
      <c r="I6" s="224"/>
      <c r="J6" s="49"/>
      <c r="K6" s="246" t="str">
        <f>IF(E6="","",'OPĆI DIO'!$C$1)</f>
        <v/>
      </c>
      <c r="L6" s="40" t="str">
        <f>LEFT(E6,2)</f>
        <v/>
      </c>
      <c r="M6" s="40" t="str">
        <f t="shared" si="7"/>
        <v/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/>
      </c>
      <c r="B7" s="319" t="str">
        <f>IF(E7="","",VLOOKUP('OPĆI DIO'!$C$1,'OPĆI DIO'!$N$4:$W$137,9,FALSE))</f>
        <v/>
      </c>
      <c r="C7" s="83" t="str">
        <f t="shared" si="3"/>
        <v/>
      </c>
      <c r="D7" s="38" t="str">
        <f t="shared" si="4"/>
        <v/>
      </c>
      <c r="E7" s="322"/>
      <c r="F7" s="86" t="str">
        <f t="shared" si="5"/>
        <v/>
      </c>
      <c r="G7" s="224"/>
      <c r="H7" s="224"/>
      <c r="I7" s="224"/>
      <c r="J7" s="49"/>
      <c r="K7" s="246" t="str">
        <f>IF(E7="","",'OPĆI DIO'!$C$1)</f>
        <v/>
      </c>
      <c r="L7" s="40" t="str">
        <f t="shared" si="6"/>
        <v/>
      </c>
      <c r="M7" s="40" t="str">
        <f t="shared" si="7"/>
        <v/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/>
      </c>
      <c r="B8" s="319" t="str">
        <f>IF(E8="","",VLOOKUP('OPĆI DIO'!$C$1,'OPĆI DIO'!$N$4:$W$137,9,FALSE))</f>
        <v/>
      </c>
      <c r="C8" s="83" t="str">
        <f t="shared" si="3"/>
        <v/>
      </c>
      <c r="D8" s="38" t="str">
        <f t="shared" si="4"/>
        <v/>
      </c>
      <c r="E8" s="322"/>
      <c r="F8" s="86" t="str">
        <f t="shared" si="5"/>
        <v/>
      </c>
      <c r="G8" s="224"/>
      <c r="H8" s="224"/>
      <c r="I8" s="224"/>
      <c r="J8" s="49"/>
      <c r="K8" s="246" t="str">
        <f>IF(E8="","",'OPĆI DIO'!$C$1)</f>
        <v/>
      </c>
      <c r="L8" s="40" t="str">
        <f t="shared" si="6"/>
        <v/>
      </c>
      <c r="M8" s="40" t="str">
        <f t="shared" si="7"/>
        <v/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08006</v>
      </c>
      <c r="B9" s="319" t="str">
        <f>IF(E9="","",VLOOKUP('OPĆI DIO'!$C$1,'OPĆI DIO'!$N$4:$W$137,9,FALSE))</f>
        <v>Sveučilišta i veleučilišta u Republici Hrvatskoj</v>
      </c>
      <c r="C9" s="83">
        <f t="shared" si="3"/>
        <v>31</v>
      </c>
      <c r="D9" s="38" t="str">
        <f t="shared" si="4"/>
        <v>Vlastiti prihodi</v>
      </c>
      <c r="E9" s="322">
        <v>6614</v>
      </c>
      <c r="F9" s="86" t="str">
        <f t="shared" si="5"/>
        <v>Prihodi od prodanih proizvoda i robe</v>
      </c>
      <c r="G9" s="224">
        <v>5309</v>
      </c>
      <c r="H9" s="224">
        <v>7000</v>
      </c>
      <c r="I9" s="224">
        <v>8000</v>
      </c>
      <c r="J9" s="49"/>
      <c r="K9" s="246" t="str">
        <f>IF(E9="","",'OPĆI DIO'!$C$1)</f>
        <v>48267 SVEUČILIŠTE SJEVER</v>
      </c>
      <c r="L9" s="40" t="str">
        <f t="shared" si="6"/>
        <v>66</v>
      </c>
      <c r="M9" s="40" t="str">
        <f t="shared" si="7"/>
        <v>661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>08006</v>
      </c>
      <c r="B10" s="319" t="str">
        <f>IF(E10="","",VLOOKUP('OPĆI DIO'!$C$1,'OPĆI DIO'!$N$4:$W$137,9,FALSE))</f>
        <v>Sveučilišta i veleučilišta u Republici Hrvatskoj</v>
      </c>
      <c r="C10" s="83">
        <f t="shared" si="3"/>
        <v>31</v>
      </c>
      <c r="D10" s="38" t="str">
        <f t="shared" si="4"/>
        <v>Vlastiti prihodi</v>
      </c>
      <c r="E10" s="322">
        <v>6615</v>
      </c>
      <c r="F10" s="86" t="str">
        <f t="shared" si="5"/>
        <v>Prihodi od pruženih usluga</v>
      </c>
      <c r="G10" s="224">
        <v>500000</v>
      </c>
      <c r="H10" s="224">
        <v>765000</v>
      </c>
      <c r="I10" s="224">
        <v>800000</v>
      </c>
      <c r="J10" s="49"/>
      <c r="K10" s="246" t="str">
        <f>IF(E10="","",'OPĆI DIO'!$C$1)</f>
        <v>48267 SVEUČILIŠTE SJEVER</v>
      </c>
      <c r="L10" s="40" t="str">
        <f t="shared" si="6"/>
        <v>66</v>
      </c>
      <c r="M10" s="40" t="str">
        <f t="shared" si="7"/>
        <v>661</v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>08006</v>
      </c>
      <c r="B11" s="319" t="str">
        <f>IF(E11="","",VLOOKUP('OPĆI DIO'!$C$1,'OPĆI DIO'!$N$4:$W$137,9,FALSE))</f>
        <v>Sveučilišta i veleučilišta u Republici Hrvatskoj</v>
      </c>
      <c r="C11" s="83">
        <f t="shared" si="3"/>
        <v>31</v>
      </c>
      <c r="D11" s="38" t="str">
        <f t="shared" si="4"/>
        <v>Vlastiti prihodi</v>
      </c>
      <c r="E11" s="322">
        <v>642990031</v>
      </c>
      <c r="F11" s="86" t="str">
        <f t="shared" si="5"/>
        <v>Ostali prihodi od nefinancijske imovine izvor 31</v>
      </c>
      <c r="G11" s="224">
        <v>10020</v>
      </c>
      <c r="H11" s="224">
        <v>10500</v>
      </c>
      <c r="I11" s="224">
        <v>11000</v>
      </c>
      <c r="J11" s="49"/>
      <c r="K11" s="246" t="str">
        <f>IF(E11="","",'OPĆI DIO'!$C$1)</f>
        <v>48267 SVEUČILIŠTE SJEVER</v>
      </c>
      <c r="L11" s="40" t="str">
        <f t="shared" si="6"/>
        <v>64</v>
      </c>
      <c r="M11" s="40" t="str">
        <f t="shared" si="7"/>
        <v>642</v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/>
      </c>
      <c r="B12" s="319" t="str">
        <f>IF(E12="","",VLOOKUP('OPĆI DIO'!$C$1,'OPĆI DIO'!$N$4:$W$137,9,FALSE))</f>
        <v/>
      </c>
      <c r="C12" s="83" t="str">
        <f t="shared" si="3"/>
        <v/>
      </c>
      <c r="D12" s="38" t="str">
        <f t="shared" si="4"/>
        <v/>
      </c>
      <c r="E12" s="324"/>
      <c r="F12" s="86" t="str">
        <f t="shared" si="5"/>
        <v/>
      </c>
      <c r="G12" s="224"/>
      <c r="H12" s="224"/>
      <c r="I12" s="224"/>
      <c r="J12" s="49"/>
      <c r="K12" s="246" t="str">
        <f>IF(E12="","",'OPĆI DIO'!$C$1)</f>
        <v/>
      </c>
      <c r="L12" s="40" t="str">
        <f t="shared" si="6"/>
        <v/>
      </c>
      <c r="M12" s="40" t="str">
        <f t="shared" si="7"/>
        <v/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>08006</v>
      </c>
      <c r="B13" s="319" t="str">
        <f>IF(E13="","",VLOOKUP('OPĆI DIO'!$C$1,'OPĆI DIO'!$N$4:$W$137,9,FALSE))</f>
        <v>Sveučilišta i veleučilišta u Republici Hrvatskoj</v>
      </c>
      <c r="C13" s="83">
        <f t="shared" si="3"/>
        <v>43</v>
      </c>
      <c r="D13" s="38" t="str">
        <f t="shared" si="4"/>
        <v>Ostali prihodi za posebne namjene</v>
      </c>
      <c r="E13" s="324">
        <v>65264</v>
      </c>
      <c r="F13" s="86" t="str">
        <f t="shared" si="5"/>
        <v>Sufinanciranje cijene usluge, participacije i slično</v>
      </c>
      <c r="G13" s="224">
        <v>2527369</v>
      </c>
      <c r="H13" s="224">
        <v>2769530</v>
      </c>
      <c r="I13" s="224">
        <v>2893600</v>
      </c>
      <c r="J13" s="49"/>
      <c r="K13" s="246" t="str">
        <f>IF(E13="","",'OPĆI DIO'!$C$1)</f>
        <v>48267 SVEUČILIŠTE SJEVER</v>
      </c>
      <c r="L13" s="40" t="str">
        <f t="shared" si="6"/>
        <v>65</v>
      </c>
      <c r="M13" s="40" t="str">
        <f t="shared" si="7"/>
        <v>652</v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>08006</v>
      </c>
      <c r="B14" s="319" t="str">
        <f>IF(E14="","",VLOOKUP('OPĆI DIO'!$C$1,'OPĆI DIO'!$N$4:$W$137,9,FALSE))</f>
        <v>Sveučilišta i veleučilišta u Republici Hrvatskoj</v>
      </c>
      <c r="C14" s="83">
        <f t="shared" si="3"/>
        <v>43</v>
      </c>
      <c r="D14" s="38" t="str">
        <f t="shared" si="4"/>
        <v>Ostali prihodi za posebne namjene</v>
      </c>
      <c r="E14" s="324">
        <v>683110043</v>
      </c>
      <c r="F14" s="86" t="str">
        <f t="shared" si="5"/>
        <v>Ostali prihodi izvor 43</v>
      </c>
      <c r="G14" s="224">
        <v>4000</v>
      </c>
      <c r="H14" s="224">
        <v>5000</v>
      </c>
      <c r="I14" s="224">
        <v>6000</v>
      </c>
      <c r="J14" s="49"/>
      <c r="K14" s="246" t="str">
        <f>IF(E14="","",'OPĆI DIO'!$C$1)</f>
        <v>48267 SVEUČILIŠTE SJEVER</v>
      </c>
      <c r="L14" s="40" t="str">
        <f t="shared" si="6"/>
        <v>68</v>
      </c>
      <c r="M14" s="40" t="str">
        <f t="shared" si="7"/>
        <v>683</v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/>
      </c>
      <c r="B15" s="319" t="str">
        <f>IF(E15="","",VLOOKUP('OPĆI DIO'!$C$1,'OPĆI DIO'!$N$4:$W$137,9,FALSE))</f>
        <v/>
      </c>
      <c r="C15" s="83" t="str">
        <f t="shared" si="3"/>
        <v/>
      </c>
      <c r="D15" s="38" t="str">
        <f t="shared" si="4"/>
        <v/>
      </c>
      <c r="E15" s="324"/>
      <c r="F15" s="86" t="str">
        <f t="shared" si="5"/>
        <v/>
      </c>
      <c r="G15" s="224"/>
      <c r="H15" s="224"/>
      <c r="I15" s="224"/>
      <c r="J15" s="49"/>
      <c r="K15" s="246" t="str">
        <f>IF(E15="","",'OPĆI DIO'!$C$1)</f>
        <v/>
      </c>
      <c r="L15" s="40" t="str">
        <f t="shared" si="6"/>
        <v/>
      </c>
      <c r="M15" s="40" t="str">
        <f t="shared" si="7"/>
        <v/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/>
      </c>
      <c r="B16" s="319" t="str">
        <f>IF(E16="","",VLOOKUP('OPĆI DIO'!$C$1,'OPĆI DIO'!$N$4:$W$137,9,FALSE))</f>
        <v/>
      </c>
      <c r="C16" s="83" t="str">
        <f t="shared" si="3"/>
        <v/>
      </c>
      <c r="D16" s="38" t="str">
        <f t="shared" si="4"/>
        <v/>
      </c>
      <c r="E16" s="322"/>
      <c r="F16" s="86" t="str">
        <f t="shared" si="5"/>
        <v/>
      </c>
      <c r="G16" s="224"/>
      <c r="H16" s="224"/>
      <c r="I16" s="224"/>
      <c r="J16" s="49"/>
      <c r="K16" s="246" t="str">
        <f>IF(E16="","",'OPĆI DIO'!$C$1)</f>
        <v/>
      </c>
      <c r="L16" s="40" t="str">
        <f t="shared" si="6"/>
        <v/>
      </c>
      <c r="M16" s="40" t="str">
        <f t="shared" si="7"/>
        <v/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>08006</v>
      </c>
      <c r="B17" s="319" t="str">
        <f>IF(E17="","",VLOOKUP('OPĆI DIO'!$C$1,'OPĆI DIO'!$N$4:$W$137,9,FALSE))</f>
        <v>Sveučilišta i veleučilišta u Republici Hrvatskoj</v>
      </c>
      <c r="C17" s="83">
        <f t="shared" si="3"/>
        <v>51</v>
      </c>
      <c r="D17" s="38" t="str">
        <f t="shared" si="4"/>
        <v xml:space="preserve">Pomoći EU </v>
      </c>
      <c r="E17" s="322">
        <v>632311700</v>
      </c>
      <c r="F17" s="86" t="str">
        <f t="shared" si="5"/>
        <v>Tekuće pomoći od institucija i tijela EU - ostalo</v>
      </c>
      <c r="G17" s="224">
        <v>15620</v>
      </c>
      <c r="H17" s="224">
        <v>1000</v>
      </c>
      <c r="I17" s="224">
        <v>0</v>
      </c>
      <c r="J17" s="49" t="s">
        <v>4850</v>
      </c>
      <c r="K17" s="246" t="str">
        <f>IF(E17="","",'OPĆI DIO'!$C$1)</f>
        <v>48267 SVEUČILIŠTE SJEVER</v>
      </c>
      <c r="L17" s="40" t="str">
        <f t="shared" si="6"/>
        <v>63</v>
      </c>
      <c r="M17" s="40" t="str">
        <f t="shared" si="7"/>
        <v>632</v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>08006</v>
      </c>
      <c r="B18" s="319" t="str">
        <f>IF(E18="","",VLOOKUP('OPĆI DIO'!$C$1,'OPĆI DIO'!$N$4:$W$137,9,FALSE))</f>
        <v>Sveučilišta i veleučilišta u Republici Hrvatskoj</v>
      </c>
      <c r="C18" s="83">
        <f t="shared" si="3"/>
        <v>51</v>
      </c>
      <c r="D18" s="38" t="str">
        <f t="shared" si="4"/>
        <v xml:space="preserve">Pomoći EU </v>
      </c>
      <c r="E18" s="322">
        <v>632311700</v>
      </c>
      <c r="F18" s="86" t="str">
        <f t="shared" si="5"/>
        <v>Tekuće pomoći od institucija i tijela EU - ostalo</v>
      </c>
      <c r="G18" s="224">
        <v>25500</v>
      </c>
      <c r="H18" s="224">
        <v>26620</v>
      </c>
      <c r="I18" s="224">
        <v>0</v>
      </c>
      <c r="J18" s="49" t="s">
        <v>4849</v>
      </c>
      <c r="K18" s="246" t="str">
        <f>IF(E18="","",'OPĆI DIO'!$C$1)</f>
        <v>48267 SVEUČILIŠTE SJEVER</v>
      </c>
      <c r="L18" s="40" t="str">
        <f t="shared" si="6"/>
        <v>63</v>
      </c>
      <c r="M18" s="40" t="str">
        <f t="shared" si="7"/>
        <v>632</v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>08006</v>
      </c>
      <c r="B21" s="319" t="str">
        <f>IF(E21="","",VLOOKUP('OPĆI DIO'!$C$1,'OPĆI DIO'!$N$4:$W$137,9,FALSE))</f>
        <v>Sveučilišta i veleučilišta u Republici Hrvatskoj</v>
      </c>
      <c r="C21" s="83">
        <f t="shared" si="3"/>
        <v>52</v>
      </c>
      <c r="D21" s="38" t="str">
        <f t="shared" si="4"/>
        <v xml:space="preserve">Ostale pomoći i darovnice </v>
      </c>
      <c r="E21" s="49">
        <v>631120000</v>
      </c>
      <c r="F21" s="86" t="str">
        <f t="shared" si="5"/>
        <v>Tekuće pomoći od inozemnih vlada izvan EU</v>
      </c>
      <c r="G21" s="81">
        <v>20000</v>
      </c>
      <c r="H21" s="81">
        <v>20000</v>
      </c>
      <c r="I21" s="81">
        <v>0</v>
      </c>
      <c r="J21" s="49" t="s">
        <v>4851</v>
      </c>
      <c r="K21" s="246" t="str">
        <f>IF(E21="","",'OPĆI DIO'!$C$1)</f>
        <v>48267 SVEUČILIŠTE SJEVER</v>
      </c>
      <c r="L21" s="40" t="str">
        <f t="shared" si="6"/>
        <v>63</v>
      </c>
      <c r="M21" s="40" t="str">
        <f t="shared" si="7"/>
        <v>631</v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>08006</v>
      </c>
      <c r="B22" s="319" t="str">
        <f>IF(E22="","",VLOOKUP('OPĆI DIO'!$C$1,'OPĆI DIO'!$N$4:$W$137,9,FALSE))</f>
        <v>Sveučilišta i veleučilišta u Republici Hrvatskoj</v>
      </c>
      <c r="C22" s="83">
        <f t="shared" si="3"/>
        <v>52</v>
      </c>
      <c r="D22" s="38" t="str">
        <f t="shared" si="4"/>
        <v xml:space="preserve">Ostale pomoći i darovnice </v>
      </c>
      <c r="E22" s="49">
        <v>6391</v>
      </c>
      <c r="F22" s="86" t="str">
        <f t="shared" si="5"/>
        <v>Tekući prijenosi između proračunskih korisnika istog proračuna</v>
      </c>
      <c r="G22" s="81">
        <v>53686</v>
      </c>
      <c r="H22" s="81">
        <v>51315</v>
      </c>
      <c r="I22" s="81">
        <v>29614</v>
      </c>
      <c r="J22" s="49" t="s">
        <v>4825</v>
      </c>
      <c r="K22" s="246" t="str">
        <f>IF(E22="","",'OPĆI DIO'!$C$1)</f>
        <v>48267 SVEUČILIŠTE SJEVER</v>
      </c>
      <c r="L22" s="40" t="str">
        <f t="shared" si="6"/>
        <v>63</v>
      </c>
      <c r="M22" s="40" t="str">
        <f t="shared" si="7"/>
        <v>639</v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>08006</v>
      </c>
      <c r="B23" s="319" t="str">
        <f>IF(E23="","",VLOOKUP('OPĆI DIO'!$C$1,'OPĆI DIO'!$N$4:$W$137,9,FALSE))</f>
        <v>Sveučilišta i veleučilišta u Republici Hrvatskoj</v>
      </c>
      <c r="C23" s="83">
        <f t="shared" si="3"/>
        <v>52</v>
      </c>
      <c r="D23" s="38" t="str">
        <f t="shared" si="4"/>
        <v xml:space="preserve">Ostale pomoći i darovnice </v>
      </c>
      <c r="E23" s="49">
        <v>6342</v>
      </c>
      <c r="F23" s="86" t="str">
        <f t="shared" si="5"/>
        <v>Kapitalne pomoći od izvanproračunskih korisnika</v>
      </c>
      <c r="G23" s="81">
        <v>9291</v>
      </c>
      <c r="H23" s="81">
        <v>0</v>
      </c>
      <c r="I23" s="81">
        <v>0</v>
      </c>
      <c r="J23" s="49" t="s">
        <v>4852</v>
      </c>
      <c r="K23" s="246" t="str">
        <f>IF(E23="","",'OPĆI DIO'!$C$1)</f>
        <v>48267 SVEUČILIŠTE SJEVER</v>
      </c>
      <c r="L23" s="40" t="str">
        <f t="shared" si="6"/>
        <v>63</v>
      </c>
      <c r="M23" s="40" t="str">
        <f t="shared" si="7"/>
        <v>634</v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>08006</v>
      </c>
      <c r="B24" s="319" t="str">
        <f>IF(E24="","",VLOOKUP('OPĆI DIO'!$C$1,'OPĆI DIO'!$N$4:$W$137,9,FALSE))</f>
        <v>Sveučilišta i veleučilišta u Republici Hrvatskoj</v>
      </c>
      <c r="C24" s="83">
        <f t="shared" si="3"/>
        <v>52</v>
      </c>
      <c r="D24" s="38" t="str">
        <f t="shared" si="4"/>
        <v xml:space="preserve">Ostale pomoći i darovnice </v>
      </c>
      <c r="E24" s="49">
        <v>6393</v>
      </c>
      <c r="F24" s="86" t="str">
        <f t="shared" si="5"/>
        <v>Tekući prijenosi između proračunskih korisnika istog proračuna temeljem prijenosa EU sredstava</v>
      </c>
      <c r="G24" s="81">
        <v>40711</v>
      </c>
      <c r="H24" s="81">
        <v>18976</v>
      </c>
      <c r="I24" s="81">
        <v>41308</v>
      </c>
      <c r="J24" s="49" t="s">
        <v>4826</v>
      </c>
      <c r="K24" s="246" t="str">
        <f>IF(E24="","",'OPĆI DIO'!$C$1)</f>
        <v>48267 SVEUČILIŠTE SJEVER</v>
      </c>
      <c r="L24" s="40" t="str">
        <f t="shared" si="6"/>
        <v>63</v>
      </c>
      <c r="M24" s="40" t="str">
        <f t="shared" si="7"/>
        <v>639</v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>08006</v>
      </c>
      <c r="B25" s="319" t="str">
        <f>IF(E25="","",VLOOKUP('OPĆI DIO'!$C$1,'OPĆI DIO'!$N$4:$W$137,9,FALSE))</f>
        <v>Sveučilišta i veleučilišta u Republici Hrvatskoj</v>
      </c>
      <c r="C25" s="83">
        <f t="shared" si="3"/>
        <v>52</v>
      </c>
      <c r="D25" s="38" t="str">
        <f t="shared" si="4"/>
        <v xml:space="preserve">Ostale pomoći i darovnice </v>
      </c>
      <c r="E25" s="49">
        <v>631110000</v>
      </c>
      <c r="F25" s="86" t="str">
        <f t="shared" si="5"/>
        <v>Tekuće pomoći od inozemnih vlada u EU</v>
      </c>
      <c r="G25" s="81">
        <v>46080</v>
      </c>
      <c r="H25" s="81">
        <v>46880</v>
      </c>
      <c r="I25" s="81">
        <v>3680</v>
      </c>
      <c r="J25" s="49" t="s">
        <v>4853</v>
      </c>
      <c r="K25" s="246" t="str">
        <f>IF(E25="","",'OPĆI DIO'!$C$1)</f>
        <v>48267 SVEUČILIŠTE SJEVER</v>
      </c>
      <c r="L25" s="40" t="str">
        <f t="shared" si="6"/>
        <v>63</v>
      </c>
      <c r="M25" s="40" t="str">
        <f t="shared" si="7"/>
        <v>631</v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>08006</v>
      </c>
      <c r="B28" s="319" t="str">
        <f>IF(E28="","",VLOOKUP('OPĆI DIO'!$C$1,'OPĆI DIO'!$N$4:$W$137,9,FALSE))</f>
        <v>Sveučilišta i veleučilišta u Republici Hrvatskoj</v>
      </c>
      <c r="C28" s="83">
        <f t="shared" si="3"/>
        <v>61</v>
      </c>
      <c r="D28" s="38" t="str">
        <f t="shared" si="4"/>
        <v xml:space="preserve">Donacije </v>
      </c>
      <c r="E28" s="49">
        <v>663120000</v>
      </c>
      <c r="F28" s="86" t="str">
        <f t="shared" si="5"/>
        <v>Tekuće donacije od neprofitnih organizacija</v>
      </c>
      <c r="G28" s="81">
        <v>30000</v>
      </c>
      <c r="H28" s="81">
        <v>40000</v>
      </c>
      <c r="I28" s="81">
        <v>50000</v>
      </c>
      <c r="J28" s="49"/>
      <c r="K28" s="246" t="str">
        <f>IF(E28="","",'OPĆI DIO'!$C$1)</f>
        <v>48267 SVEUČILIŠTE SJEVER</v>
      </c>
      <c r="L28" s="40" t="str">
        <f t="shared" si="6"/>
        <v>66</v>
      </c>
      <c r="M28" s="40" t="str">
        <f t="shared" si="7"/>
        <v>663</v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>08006</v>
      </c>
      <c r="B29" s="319" t="str">
        <f>IF(E29="","",VLOOKUP('OPĆI DIO'!$C$1,'OPĆI DIO'!$N$4:$W$137,9,FALSE))</f>
        <v>Sveučilišta i veleučilišta u Republici Hrvatskoj</v>
      </c>
      <c r="C29" s="83">
        <f t="shared" si="3"/>
        <v>61</v>
      </c>
      <c r="D29" s="38" t="str">
        <f t="shared" si="4"/>
        <v xml:space="preserve">Donacije </v>
      </c>
      <c r="E29" s="49">
        <v>663210000</v>
      </c>
      <c r="F29" s="86" t="str">
        <f t="shared" si="5"/>
        <v>Kapitalne donacije od fizičkih osoba</v>
      </c>
      <c r="G29" s="81">
        <v>2000</v>
      </c>
      <c r="H29" s="81">
        <v>3000</v>
      </c>
      <c r="I29" s="81">
        <v>3000</v>
      </c>
      <c r="J29" s="49"/>
      <c r="K29" s="246" t="str">
        <f>IF(E29="","",'OPĆI DIO'!$C$1)</f>
        <v>48267 SVEUČILIŠTE SJEVER</v>
      </c>
      <c r="L29" s="40" t="str">
        <f t="shared" si="6"/>
        <v>66</v>
      </c>
      <c r="M29" s="40" t="str">
        <f t="shared" si="7"/>
        <v>663</v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>08006</v>
      </c>
      <c r="B33" s="319" t="str">
        <f>IF(E33="","",VLOOKUP('OPĆI DIO'!$C$1,'OPĆI DIO'!$N$4:$W$137,9,FALSE))</f>
        <v>Sveučilišta i veleučilišta u Republici Hrvatskoj</v>
      </c>
      <c r="C33" s="83">
        <f t="shared" si="3"/>
        <v>71</v>
      </c>
      <c r="D33" s="38" t="str">
        <f t="shared" si="4"/>
        <v>Prihodi od prodaje ili zamjene nefinancijske imovine i naknade s naslova osiguranja</v>
      </c>
      <c r="E33" s="49">
        <v>722110071</v>
      </c>
      <c r="F33" s="86" t="str">
        <f t="shared" si="5"/>
        <v>Računala i računalna oprema izvor 71</v>
      </c>
      <c r="G33" s="81">
        <v>1327</v>
      </c>
      <c r="H33" s="81">
        <v>1327</v>
      </c>
      <c r="I33" s="81">
        <v>1327</v>
      </c>
      <c r="J33" s="49"/>
      <c r="K33" s="246" t="str">
        <f>IF(E33="","",'OPĆI DIO'!$C$1)</f>
        <v>48267 SVEUČILIŠTE SJEVER</v>
      </c>
      <c r="L33" s="40" t="str">
        <f t="shared" si="6"/>
        <v>72</v>
      </c>
      <c r="M33" s="40" t="str">
        <f t="shared" si="7"/>
        <v>722</v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>08006</v>
      </c>
      <c r="B34" s="319" t="str">
        <f>IF(E34="","",VLOOKUP('OPĆI DIO'!$C$1,'OPĆI DIO'!$N$4:$W$137,9,FALSE))</f>
        <v>Sveučilišta i veleučilišta u Republici Hrvatskoj</v>
      </c>
      <c r="C34" s="83">
        <f t="shared" si="3"/>
        <v>71</v>
      </c>
      <c r="D34" s="38" t="str">
        <f t="shared" si="4"/>
        <v>Prihodi od prodaje ili zamjene nefinancijske imovine i naknade s naslova osiguranja</v>
      </c>
      <c r="E34" s="49">
        <v>722730071</v>
      </c>
      <c r="F34" s="86" t="str">
        <f t="shared" si="5"/>
        <v>Oprema izvor 71</v>
      </c>
      <c r="G34" s="81">
        <v>1327</v>
      </c>
      <c r="H34" s="81">
        <v>1327</v>
      </c>
      <c r="I34" s="81">
        <v>1327</v>
      </c>
      <c r="J34" s="49"/>
      <c r="K34" s="246" t="str">
        <f>IF(E34="","",'OPĆI DIO'!$C$1)</f>
        <v>48267 SVEUČILIŠTE SJEVER</v>
      </c>
      <c r="L34" s="40" t="str">
        <f t="shared" si="6"/>
        <v>72</v>
      </c>
      <c r="M34" s="40" t="str">
        <f t="shared" si="7"/>
        <v>722</v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ref="R8:V105">
    <sortCondition ref="R8"/>
  </sortState>
  <dataConsolidate/>
  <mergeCells count="1">
    <mergeCell ref="A1:D1"/>
  </mergeCells>
  <phoneticPr fontId="32" type="noConversion"/>
  <conditionalFormatting sqref="J3:J20 J22 J24:J501">
    <cfRule type="expression" dxfId="3" priority="4">
      <formula>IF(OR(E3=6391,E3=6392,E3=6393,E3=6394),1,0)</formula>
    </cfRule>
  </conditionalFormatting>
  <conditionalFormatting sqref="J21">
    <cfRule type="expression" dxfId="2" priority="2">
      <formula>IF(OR(B21=3691,B21=3692,B21=3693,B21=3694),1,0)</formula>
    </cfRule>
  </conditionalFormatting>
  <conditionalFormatting sqref="J23">
    <cfRule type="expression" dxfId="1" priority="1">
      <formula>IF(OR(B23=3691,B23=3692,B23=3693,B23=3694),1,0)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8" scale="8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7"/>
  <sheetViews>
    <sheetView showGridLines="0" topLeftCell="A91" zoomScale="110" zoomScaleNormal="110" zoomScaleSheetLayoutView="90" workbookViewId="0">
      <selection activeCell="J34" sqref="J34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6" t="s">
        <v>4041</v>
      </c>
      <c r="B1" s="386"/>
      <c r="C1" s="386"/>
      <c r="D1" s="386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327" t="s">
        <v>141</v>
      </c>
      <c r="H3" s="45" t="str">
        <f>IFERROR(VLOOKUP(G3,$AC$6:$AD$344,2,FALSE),"")</f>
        <v>REDOVNA DJELATNOST SVEUČILIŠTA SJEVER</v>
      </c>
      <c r="I3" s="45" t="str">
        <f>IFERROR(VLOOKUP(G3,$AC$6:$AG$344,3,FALSE),"")</f>
        <v>0942</v>
      </c>
      <c r="J3" s="224">
        <v>5527270</v>
      </c>
      <c r="K3" s="224">
        <v>5547723</v>
      </c>
      <c r="L3" s="224">
        <v>5551398</v>
      </c>
      <c r="M3" s="49"/>
      <c r="N3" s="246" t="str">
        <f>IF(C3="","",'OPĆI DIO'!$C$1)</f>
        <v>48267 SVEUČILIŠTE SJEVER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1">IFERROR(VLOOKUP(C4,$T$6:$U$24,2,FALSE),"")</f>
        <v>Opći prihodi i primici</v>
      </c>
      <c r="E4" s="50">
        <v>3121</v>
      </c>
      <c r="F4" s="45" t="str">
        <f t="shared" ref="F4:F67" si="2">IFERROR(VLOOKUP(E4,$W$5:$Y$129,2,FALSE),"")</f>
        <v>Ostali rashodi za zaposlene</v>
      </c>
      <c r="G4" s="327" t="s">
        <v>141</v>
      </c>
      <c r="H4" s="45" t="str">
        <f t="shared" ref="H4:H67" si="3">IFERROR(VLOOKUP(G4,$AC$6:$AD$344,2,FALSE),"")</f>
        <v>REDOVNA DJELATNOST SVEUČILIŠTA SJEVER</v>
      </c>
      <c r="I4" s="45" t="str">
        <f t="shared" ref="I4:I67" si="4">IFERROR(VLOOKUP(G4,$AC$6:$AG$344,3,FALSE),"")</f>
        <v>0942</v>
      </c>
      <c r="J4" s="224">
        <v>122959</v>
      </c>
      <c r="K4" s="224">
        <v>129265</v>
      </c>
      <c r="L4" s="224">
        <v>129265</v>
      </c>
      <c r="M4" s="49"/>
      <c r="N4" s="246" t="str">
        <f>IF(C4="","",'OPĆI DIO'!$C$1)</f>
        <v>48267 SVEUČILIŠTE SJEVER</v>
      </c>
      <c r="O4" s="40" t="str">
        <f t="shared" ref="O4:O67" si="5">LEFT(E4,3)</f>
        <v>312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3132</v>
      </c>
      <c r="F5" s="45" t="str">
        <f t="shared" si="2"/>
        <v>Doprinosi za obvezno zdravstveno osiguranje</v>
      </c>
      <c r="G5" s="327" t="s">
        <v>141</v>
      </c>
      <c r="H5" s="45" t="str">
        <f t="shared" si="3"/>
        <v>REDOVNA DJELATNOST SVEUČILIŠTA SJEVER</v>
      </c>
      <c r="I5" s="45" t="str">
        <f t="shared" si="4"/>
        <v>0942</v>
      </c>
      <c r="J5" s="224">
        <v>853817</v>
      </c>
      <c r="K5" s="224">
        <v>853817</v>
      </c>
      <c r="L5" s="224">
        <v>853817</v>
      </c>
      <c r="M5" s="49"/>
      <c r="N5" s="246" t="str">
        <f>IF(C5="","",'OPĆI DIO'!$C$1)</f>
        <v>48267 SVEUČILIŠTE SJEVER</v>
      </c>
      <c r="O5" s="40" t="str">
        <f t="shared" si="5"/>
        <v>313</v>
      </c>
      <c r="P5" s="40" t="str">
        <f t="shared" si="6"/>
        <v>31</v>
      </c>
      <c r="Q5" s="40" t="str">
        <f t="shared" si="7"/>
        <v>11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3212</v>
      </c>
      <c r="F6" s="45" t="str">
        <f t="shared" si="2"/>
        <v>Naknade za prijevoz, za rad na terenu i odvojeni život</v>
      </c>
      <c r="G6" s="327" t="s">
        <v>141</v>
      </c>
      <c r="H6" s="45" t="str">
        <f t="shared" si="3"/>
        <v>REDOVNA DJELATNOST SVEUČILIŠTA SJEVER</v>
      </c>
      <c r="I6" s="45" t="str">
        <f t="shared" si="4"/>
        <v>0942</v>
      </c>
      <c r="J6" s="224">
        <v>272052</v>
      </c>
      <c r="K6" s="224">
        <v>272052</v>
      </c>
      <c r="L6" s="224">
        <v>272052</v>
      </c>
      <c r="M6" s="49"/>
      <c r="N6" s="246" t="str">
        <f>IF(C6="","",'OPĆI DIO'!$C$1)</f>
        <v>48267 SVEUČILIŠTE SJEVER</v>
      </c>
      <c r="O6" s="40" t="str">
        <f t="shared" si="5"/>
        <v>321</v>
      </c>
      <c r="P6" s="40" t="str">
        <f t="shared" si="6"/>
        <v>32</v>
      </c>
      <c r="Q6" s="40" t="str">
        <f t="shared" si="7"/>
        <v>11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3236</v>
      </c>
      <c r="F7" s="45" t="str">
        <f t="shared" si="2"/>
        <v>Zdravstvene i veterinarske usluge</v>
      </c>
      <c r="G7" s="327" t="s">
        <v>141</v>
      </c>
      <c r="H7" s="45" t="str">
        <f t="shared" si="3"/>
        <v>REDOVNA DJELATNOST SVEUČILIŠTA SJEVER</v>
      </c>
      <c r="I7" s="45" t="str">
        <f t="shared" si="4"/>
        <v>0942</v>
      </c>
      <c r="J7" s="224">
        <v>27758</v>
      </c>
      <c r="K7" s="224">
        <v>27758</v>
      </c>
      <c r="L7" s="224">
        <v>27758</v>
      </c>
      <c r="M7" s="49"/>
      <c r="N7" s="246" t="str">
        <f>IF(C7="","",'OPĆI DIO'!$C$1)</f>
        <v>48267 SVEUČILIŠTE SJEVER</v>
      </c>
      <c r="O7" s="40" t="str">
        <f t="shared" si="5"/>
        <v>323</v>
      </c>
      <c r="P7" s="40" t="str">
        <f t="shared" si="6"/>
        <v>32</v>
      </c>
      <c r="Q7" s="40" t="str">
        <f t="shared" si="7"/>
        <v>11</v>
      </c>
      <c r="R7" s="40" t="str">
        <f t="shared" si="8"/>
        <v>94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3295</v>
      </c>
      <c r="F8" s="45" t="str">
        <f t="shared" si="2"/>
        <v>Pristojbe i naknade</v>
      </c>
      <c r="G8" s="327" t="s">
        <v>141</v>
      </c>
      <c r="H8" s="45" t="str">
        <f t="shared" si="3"/>
        <v>REDOVNA DJELATNOST SVEUČILIŠTA SJEVER</v>
      </c>
      <c r="I8" s="45" t="str">
        <f t="shared" si="4"/>
        <v>0942</v>
      </c>
      <c r="J8" s="224">
        <v>5700</v>
      </c>
      <c r="K8" s="224">
        <v>5700</v>
      </c>
      <c r="L8" s="224">
        <v>5700</v>
      </c>
      <c r="M8" s="49"/>
      <c r="N8" s="246" t="str">
        <f>IF(C8="","",'OPĆI DIO'!$C$1)</f>
        <v>48267 SVEUČILIŠTE SJEVER</v>
      </c>
      <c r="O8" s="40" t="str">
        <f t="shared" si="5"/>
        <v>329</v>
      </c>
      <c r="P8" s="40" t="str">
        <f t="shared" si="6"/>
        <v>32</v>
      </c>
      <c r="Q8" s="40" t="str">
        <f t="shared" si="7"/>
        <v>11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4212</v>
      </c>
      <c r="F9" s="45" t="str">
        <f t="shared" si="2"/>
        <v>Poslovni objekti</v>
      </c>
      <c r="G9" s="327" t="s">
        <v>141</v>
      </c>
      <c r="H9" s="45" t="str">
        <f t="shared" si="3"/>
        <v>REDOVNA DJELATNOST SVEUČILIŠTA SJEVER</v>
      </c>
      <c r="I9" s="45" t="str">
        <f t="shared" si="4"/>
        <v>0942</v>
      </c>
      <c r="J9" s="224">
        <v>2500000</v>
      </c>
      <c r="K9" s="224">
        <v>0</v>
      </c>
      <c r="L9" s="224">
        <v>0</v>
      </c>
      <c r="M9" s="49"/>
      <c r="N9" s="246" t="str">
        <f>IF(C9="","",'OPĆI DIO'!$C$1)</f>
        <v>48267 SVEUČILIŠTE SJEVER</v>
      </c>
      <c r="O9" s="40" t="str">
        <f t="shared" si="5"/>
        <v>421</v>
      </c>
      <c r="P9" s="40" t="str">
        <f t="shared" si="6"/>
        <v>42</v>
      </c>
      <c r="Q9" s="40" t="str">
        <f t="shared" si="7"/>
        <v>11</v>
      </c>
      <c r="R9" s="40" t="str">
        <f t="shared" si="8"/>
        <v>94</v>
      </c>
      <c r="S9" s="40" t="str">
        <f t="shared" si="9"/>
        <v>4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3811</v>
      </c>
      <c r="F10" s="45" t="str">
        <f t="shared" si="2"/>
        <v>Tekuće donacije u novcu</v>
      </c>
      <c r="G10" s="327" t="s">
        <v>1430</v>
      </c>
      <c r="H10" s="45" t="str">
        <f t="shared" si="3"/>
        <v>PROGRAMI POBOLJŠANJA STUDENTSKOG STANDARDA</v>
      </c>
      <c r="I10" s="45" t="str">
        <f t="shared" si="4"/>
        <v>0960</v>
      </c>
      <c r="J10" s="224">
        <v>15000</v>
      </c>
      <c r="K10" s="224">
        <v>15000</v>
      </c>
      <c r="L10" s="224">
        <v>15000</v>
      </c>
      <c r="M10" s="49"/>
      <c r="N10" s="246" t="str">
        <f>IF(C10="","",'OPĆI DIO'!$C$1)</f>
        <v>48267 SVEUČILIŠTE SJEVER</v>
      </c>
      <c r="O10" s="40" t="str">
        <f t="shared" si="5"/>
        <v>381</v>
      </c>
      <c r="P10" s="40" t="str">
        <f t="shared" si="6"/>
        <v>38</v>
      </c>
      <c r="Q10" s="40" t="str">
        <f t="shared" si="7"/>
        <v>11</v>
      </c>
      <c r="R10" s="40" t="str">
        <f t="shared" si="8"/>
        <v>96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/>
      </c>
      <c r="B11" s="44" t="str">
        <f>IF(C11="","",VLOOKUP('OPĆI DIO'!$C$1,'OPĆI DIO'!$N$4:$W$137,9,FALSE))</f>
        <v/>
      </c>
      <c r="C11" s="50"/>
      <c r="D11" s="45" t="str">
        <f t="shared" si="1"/>
        <v/>
      </c>
      <c r="E11" s="50"/>
      <c r="F11" s="45" t="str">
        <f t="shared" si="2"/>
        <v/>
      </c>
      <c r="G11" s="327"/>
      <c r="H11" s="45" t="str">
        <f t="shared" si="3"/>
        <v/>
      </c>
      <c r="I11" s="45" t="str">
        <f t="shared" si="4"/>
        <v/>
      </c>
      <c r="J11" s="224"/>
      <c r="K11" s="224"/>
      <c r="L11" s="224"/>
      <c r="M11" s="49"/>
      <c r="N11" s="246" t="str">
        <f>IF(C11="","",'OPĆI DIO'!$C$1)</f>
        <v/>
      </c>
      <c r="O11" s="40" t="str">
        <f t="shared" si="5"/>
        <v/>
      </c>
      <c r="P11" s="40" t="str">
        <f t="shared" si="6"/>
        <v/>
      </c>
      <c r="Q11" s="40" t="str">
        <f t="shared" si="7"/>
        <v/>
      </c>
      <c r="R11" s="40" t="str">
        <f t="shared" si="8"/>
        <v/>
      </c>
      <c r="S11" s="40" t="str">
        <f t="shared" si="9"/>
        <v/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50">
        <v>3111</v>
      </c>
      <c r="F12" s="45" t="str">
        <f t="shared" si="2"/>
        <v>Plaće za redovan rad</v>
      </c>
      <c r="G12" s="327" t="s">
        <v>665</v>
      </c>
      <c r="H12" s="45" t="str">
        <f t="shared" si="3"/>
        <v>PROGRAMSKO FINANCIRANJE JAVNIH VISOKIH UČILIŠTA</v>
      </c>
      <c r="I12" s="45" t="str">
        <f t="shared" si="4"/>
        <v>0942</v>
      </c>
      <c r="J12" s="224">
        <v>85000</v>
      </c>
      <c r="K12" s="224">
        <v>85000</v>
      </c>
      <c r="L12" s="224">
        <v>85000</v>
      </c>
      <c r="M12" s="49"/>
      <c r="N12" s="246" t="str">
        <f>IF(C12="","",'OPĆI DIO'!$C$1)</f>
        <v>48267 SVEUČILIŠTE SJEVER</v>
      </c>
      <c r="O12" s="40" t="str">
        <f t="shared" si="5"/>
        <v>311</v>
      </c>
      <c r="P12" s="40" t="str">
        <f t="shared" si="6"/>
        <v>31</v>
      </c>
      <c r="Q12" s="40" t="str">
        <f t="shared" si="7"/>
        <v>11</v>
      </c>
      <c r="R12" s="40" t="str">
        <f t="shared" si="8"/>
        <v>94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3113</v>
      </c>
      <c r="F13" s="45" t="str">
        <f t="shared" si="2"/>
        <v>Plaće za prekovremeni rad</v>
      </c>
      <c r="G13" s="327" t="s">
        <v>665</v>
      </c>
      <c r="H13" s="45" t="str">
        <f t="shared" si="3"/>
        <v>PROGRAMSKO FINANCIRANJE JAVNIH VISOKIH UČILIŠTA</v>
      </c>
      <c r="I13" s="45" t="str">
        <f t="shared" si="4"/>
        <v>0942</v>
      </c>
      <c r="J13" s="224">
        <v>270000</v>
      </c>
      <c r="K13" s="224">
        <v>270000</v>
      </c>
      <c r="L13" s="224">
        <v>270000</v>
      </c>
      <c r="M13" s="49"/>
      <c r="N13" s="246" t="str">
        <f>IF(C13="","",'OPĆI DIO'!$C$1)</f>
        <v>48267 SVEUČILIŠTE SJEVER</v>
      </c>
      <c r="O13" s="40" t="str">
        <f t="shared" si="5"/>
        <v>311</v>
      </c>
      <c r="P13" s="40" t="str">
        <f t="shared" si="6"/>
        <v>31</v>
      </c>
      <c r="Q13" s="40" t="str">
        <f t="shared" si="7"/>
        <v>11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50">
        <v>3132</v>
      </c>
      <c r="F14" s="45" t="str">
        <f t="shared" si="2"/>
        <v>Doprinosi za obvezno zdravstveno osiguranje</v>
      </c>
      <c r="G14" s="327" t="s">
        <v>665</v>
      </c>
      <c r="H14" s="45" t="str">
        <f t="shared" si="3"/>
        <v>PROGRAMSKO FINANCIRANJE JAVNIH VISOKIH UČILIŠTA</v>
      </c>
      <c r="I14" s="45" t="str">
        <f t="shared" si="4"/>
        <v>0942</v>
      </c>
      <c r="J14" s="224">
        <v>58575</v>
      </c>
      <c r="K14" s="224">
        <v>58575</v>
      </c>
      <c r="L14" s="224">
        <v>58575</v>
      </c>
      <c r="M14" s="49"/>
      <c r="N14" s="246" t="str">
        <f>IF(C14="","",'OPĆI DIO'!$C$1)</f>
        <v>48267 SVEUČILIŠTE SJEVER</v>
      </c>
      <c r="O14" s="40" t="str">
        <f t="shared" si="5"/>
        <v>313</v>
      </c>
      <c r="P14" s="40" t="str">
        <f t="shared" si="6"/>
        <v>31</v>
      </c>
      <c r="Q14" s="40" t="str">
        <f t="shared" si="7"/>
        <v>11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50">
        <v>3211</v>
      </c>
      <c r="F15" s="45" t="str">
        <f t="shared" si="2"/>
        <v>Službena putovanja</v>
      </c>
      <c r="G15" s="327" t="s">
        <v>665</v>
      </c>
      <c r="H15" s="45" t="str">
        <f t="shared" si="3"/>
        <v>PROGRAMSKO FINANCIRANJE JAVNIH VISOKIH UČILIŠTA</v>
      </c>
      <c r="I15" s="45" t="str">
        <f t="shared" si="4"/>
        <v>0942</v>
      </c>
      <c r="J15" s="224">
        <v>121136</v>
      </c>
      <c r="K15" s="224">
        <v>121136</v>
      </c>
      <c r="L15" s="224">
        <v>121136</v>
      </c>
      <c r="M15" s="49"/>
      <c r="N15" s="246" t="str">
        <f>IF(C15="","",'OPĆI DIO'!$C$1)</f>
        <v>48267 SVEUČILIŠTE SJEVER</v>
      </c>
      <c r="O15" s="40" t="str">
        <f t="shared" si="5"/>
        <v>321</v>
      </c>
      <c r="P15" s="40" t="str">
        <f t="shared" si="6"/>
        <v>32</v>
      </c>
      <c r="Q15" s="40" t="str">
        <f t="shared" si="7"/>
        <v>11</v>
      </c>
      <c r="R15" s="40" t="str">
        <f t="shared" si="8"/>
        <v>94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"/>
        <v>Opći prihodi i primici</v>
      </c>
      <c r="E16" s="50">
        <v>3213</v>
      </c>
      <c r="F16" s="45" t="str">
        <f t="shared" si="2"/>
        <v>Stručno usavršavanje zaposlenika</v>
      </c>
      <c r="G16" s="327" t="s">
        <v>665</v>
      </c>
      <c r="H16" s="45" t="str">
        <f t="shared" si="3"/>
        <v>PROGRAMSKO FINANCIRANJE JAVNIH VISOKIH UČILIŠTA</v>
      </c>
      <c r="I16" s="45" t="str">
        <f t="shared" si="4"/>
        <v>0942</v>
      </c>
      <c r="J16" s="224">
        <v>66838</v>
      </c>
      <c r="K16" s="224">
        <v>66838</v>
      </c>
      <c r="L16" s="224">
        <v>66838</v>
      </c>
      <c r="M16" s="49"/>
      <c r="N16" s="246" t="str">
        <f>IF(C16="","",'OPĆI DIO'!$C$1)</f>
        <v>48267 SVEUČILIŠTE SJEVER</v>
      </c>
      <c r="O16" s="40" t="str">
        <f t="shared" si="5"/>
        <v>321</v>
      </c>
      <c r="P16" s="40" t="str">
        <f t="shared" si="6"/>
        <v>32</v>
      </c>
      <c r="Q16" s="40" t="str">
        <f t="shared" si="7"/>
        <v>11</v>
      </c>
      <c r="R16" s="40" t="str">
        <f t="shared" si="8"/>
        <v>94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"/>
        <v>Opći prihodi i primici</v>
      </c>
      <c r="E17" s="50">
        <v>3221</v>
      </c>
      <c r="F17" s="45" t="str">
        <f t="shared" si="2"/>
        <v>Uredski materijal i ostali materijalni rashodi</v>
      </c>
      <c r="G17" s="327" t="s">
        <v>665</v>
      </c>
      <c r="H17" s="45" t="str">
        <f t="shared" si="3"/>
        <v>PROGRAMSKO FINANCIRANJE JAVNIH VISOKIH UČILIŠTA</v>
      </c>
      <c r="I17" s="45" t="str">
        <f t="shared" si="4"/>
        <v>0942</v>
      </c>
      <c r="J17" s="224">
        <v>47780</v>
      </c>
      <c r="K17" s="224">
        <v>47780</v>
      </c>
      <c r="L17" s="224">
        <v>47780</v>
      </c>
      <c r="M17" s="49"/>
      <c r="N17" s="246" t="str">
        <f>IF(C17="","",'OPĆI DIO'!$C$1)</f>
        <v>48267 SVEUČILIŠTE SJEVER</v>
      </c>
      <c r="O17" s="40" t="str">
        <f t="shared" si="5"/>
        <v>322</v>
      </c>
      <c r="P17" s="40" t="str">
        <f t="shared" si="6"/>
        <v>32</v>
      </c>
      <c r="Q17" s="40" t="str">
        <f t="shared" si="7"/>
        <v>11</v>
      </c>
      <c r="R17" s="40" t="str">
        <f t="shared" si="8"/>
        <v>94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"/>
        <v>Opći prihodi i primici</v>
      </c>
      <c r="E18" s="50">
        <v>3225</v>
      </c>
      <c r="F18" s="45" t="str">
        <f t="shared" si="2"/>
        <v>Sitni inventar i auto gume</v>
      </c>
      <c r="G18" s="327" t="s">
        <v>665</v>
      </c>
      <c r="H18" s="45" t="str">
        <f t="shared" si="3"/>
        <v>PROGRAMSKO FINANCIRANJE JAVNIH VISOKIH UČILIŠTA</v>
      </c>
      <c r="I18" s="45" t="str">
        <f t="shared" si="4"/>
        <v>0942</v>
      </c>
      <c r="J18" s="224">
        <v>20000</v>
      </c>
      <c r="K18" s="224">
        <v>20000</v>
      </c>
      <c r="L18" s="224">
        <v>20000</v>
      </c>
      <c r="M18" s="49"/>
      <c r="N18" s="246" t="str">
        <f>IF(C18="","",'OPĆI DIO'!$C$1)</f>
        <v>48267 SVEUČILIŠTE SJEVER</v>
      </c>
      <c r="O18" s="40" t="str">
        <f t="shared" si="5"/>
        <v>322</v>
      </c>
      <c r="P18" s="40" t="str">
        <f t="shared" si="6"/>
        <v>32</v>
      </c>
      <c r="Q18" s="40" t="str">
        <f t="shared" si="7"/>
        <v>11</v>
      </c>
      <c r="R18" s="40" t="str">
        <f t="shared" si="8"/>
        <v>94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1"/>
        <v>Opći prihodi i primici</v>
      </c>
      <c r="E19" s="50">
        <v>3231</v>
      </c>
      <c r="F19" s="45" t="str">
        <f t="shared" si="2"/>
        <v>Usluge telefona, pošte i prijevoza</v>
      </c>
      <c r="G19" s="327" t="s">
        <v>665</v>
      </c>
      <c r="H19" s="45" t="str">
        <f t="shared" si="3"/>
        <v>PROGRAMSKO FINANCIRANJE JAVNIH VISOKIH UČILIŠTA</v>
      </c>
      <c r="I19" s="45" t="str">
        <f t="shared" si="4"/>
        <v>0942</v>
      </c>
      <c r="J19" s="224">
        <v>12000</v>
      </c>
      <c r="K19" s="224">
        <v>12000</v>
      </c>
      <c r="L19" s="224">
        <v>12000</v>
      </c>
      <c r="M19" s="49"/>
      <c r="N19" s="246" t="str">
        <f>IF(C19="","",'OPĆI DIO'!$C$1)</f>
        <v>48267 SVEUČILIŠTE SJEVER</v>
      </c>
      <c r="O19" s="40" t="str">
        <f t="shared" si="5"/>
        <v>323</v>
      </c>
      <c r="P19" s="40" t="str">
        <f t="shared" si="6"/>
        <v>32</v>
      </c>
      <c r="Q19" s="40" t="str">
        <f t="shared" si="7"/>
        <v>11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1"/>
        <v>Opći prihodi i primici</v>
      </c>
      <c r="E20" s="50">
        <v>3233</v>
      </c>
      <c r="F20" s="45" t="str">
        <f t="shared" si="2"/>
        <v>Usluge promidžbe i informiranja</v>
      </c>
      <c r="G20" s="327" t="s">
        <v>665</v>
      </c>
      <c r="H20" s="45" t="str">
        <f t="shared" si="3"/>
        <v>PROGRAMSKO FINANCIRANJE JAVNIH VISOKIH UČILIŠTA</v>
      </c>
      <c r="I20" s="45" t="str">
        <f t="shared" si="4"/>
        <v>0942</v>
      </c>
      <c r="J20" s="224">
        <v>44000</v>
      </c>
      <c r="K20" s="224">
        <v>44000</v>
      </c>
      <c r="L20" s="224">
        <v>44000</v>
      </c>
      <c r="M20" s="49"/>
      <c r="N20" s="246" t="str">
        <f>IF(C20="","",'OPĆI DIO'!$C$1)</f>
        <v>48267 SVEUČILIŠTE SJEVER</v>
      </c>
      <c r="O20" s="40" t="str">
        <f t="shared" si="5"/>
        <v>323</v>
      </c>
      <c r="P20" s="40" t="str">
        <f t="shared" si="6"/>
        <v>32</v>
      </c>
      <c r="Q20" s="40" t="str">
        <f t="shared" si="7"/>
        <v>11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1"/>
        <v>Opći prihodi i primici</v>
      </c>
      <c r="E21" s="50">
        <v>3235</v>
      </c>
      <c r="F21" s="45" t="str">
        <f t="shared" si="2"/>
        <v>Zakupnine i najamnine</v>
      </c>
      <c r="G21" s="327" t="s">
        <v>665</v>
      </c>
      <c r="H21" s="45" t="str">
        <f t="shared" si="3"/>
        <v>PROGRAMSKO FINANCIRANJE JAVNIH VISOKIH UČILIŠTA</v>
      </c>
      <c r="I21" s="45" t="str">
        <f t="shared" si="4"/>
        <v>0942</v>
      </c>
      <c r="J21" s="224">
        <v>3750</v>
      </c>
      <c r="K21" s="224">
        <v>3750</v>
      </c>
      <c r="L21" s="224">
        <v>3750</v>
      </c>
      <c r="M21" s="49"/>
      <c r="N21" s="246" t="str">
        <f>IF(C21="","",'OPĆI DIO'!$C$1)</f>
        <v>48267 SVEUČILIŠTE SJEVER</v>
      </c>
      <c r="O21" s="40" t="str">
        <f t="shared" si="5"/>
        <v>323</v>
      </c>
      <c r="P21" s="40" t="str">
        <f t="shared" si="6"/>
        <v>32</v>
      </c>
      <c r="Q21" s="40" t="str">
        <f t="shared" si="7"/>
        <v>11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11</v>
      </c>
      <c r="D22" s="45" t="str">
        <f t="shared" si="1"/>
        <v>Opći prihodi i primici</v>
      </c>
      <c r="E22" s="50">
        <v>3236</v>
      </c>
      <c r="F22" s="45" t="str">
        <f t="shared" si="2"/>
        <v>Zdravstvene i veterinarske usluge</v>
      </c>
      <c r="G22" s="327" t="s">
        <v>665</v>
      </c>
      <c r="H22" s="45" t="str">
        <f t="shared" si="3"/>
        <v>PROGRAMSKO FINANCIRANJE JAVNIH VISOKIH UČILIŠTA</v>
      </c>
      <c r="I22" s="45" t="str">
        <f t="shared" si="4"/>
        <v>0942</v>
      </c>
      <c r="J22" s="224">
        <v>1300</v>
      </c>
      <c r="K22" s="224">
        <v>1300</v>
      </c>
      <c r="L22" s="224">
        <v>1300</v>
      </c>
      <c r="M22" s="49"/>
      <c r="N22" s="246" t="str">
        <f>IF(C22="","",'OPĆI DIO'!$C$1)</f>
        <v>48267 SVEUČILIŠTE SJEVER</v>
      </c>
      <c r="O22" s="40" t="str">
        <f t="shared" si="5"/>
        <v>323</v>
      </c>
      <c r="P22" s="40" t="str">
        <f t="shared" si="6"/>
        <v>32</v>
      </c>
      <c r="Q22" s="40" t="str">
        <f t="shared" si="7"/>
        <v>11</v>
      </c>
      <c r="R22" s="40" t="str">
        <f t="shared" si="8"/>
        <v>94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11</v>
      </c>
      <c r="D23" s="45" t="str">
        <f t="shared" si="1"/>
        <v>Opći prihodi i primici</v>
      </c>
      <c r="E23" s="50">
        <v>3237</v>
      </c>
      <c r="F23" s="45" t="str">
        <f t="shared" si="2"/>
        <v>Intelektualne i osobne usluge</v>
      </c>
      <c r="G23" s="327" t="s">
        <v>665</v>
      </c>
      <c r="H23" s="45" t="str">
        <f t="shared" si="3"/>
        <v>PROGRAMSKO FINANCIRANJE JAVNIH VISOKIH UČILIŠTA</v>
      </c>
      <c r="I23" s="45" t="str">
        <f t="shared" si="4"/>
        <v>0942</v>
      </c>
      <c r="J23" s="224">
        <f>221958-7615</f>
        <v>214343</v>
      </c>
      <c r="K23" s="224">
        <v>214343</v>
      </c>
      <c r="L23" s="224">
        <v>214343</v>
      </c>
      <c r="M23" s="49"/>
      <c r="N23" s="246" t="str">
        <f>IF(C23="","",'OPĆI DIO'!$C$1)</f>
        <v>48267 SVEUČILIŠTE SJEVER</v>
      </c>
      <c r="O23" s="40" t="str">
        <f t="shared" si="5"/>
        <v>323</v>
      </c>
      <c r="P23" s="40" t="str">
        <f t="shared" si="6"/>
        <v>32</v>
      </c>
      <c r="Q23" s="40" t="str">
        <f t="shared" si="7"/>
        <v>11</v>
      </c>
      <c r="R23" s="40" t="str">
        <f t="shared" si="8"/>
        <v>94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11</v>
      </c>
      <c r="D24" s="45" t="str">
        <f t="shared" si="1"/>
        <v>Opći prihodi i primici</v>
      </c>
      <c r="E24" s="50">
        <v>3238</v>
      </c>
      <c r="F24" s="45" t="str">
        <f t="shared" si="2"/>
        <v>Računalne usluge</v>
      </c>
      <c r="G24" s="327" t="s">
        <v>665</v>
      </c>
      <c r="H24" s="45" t="str">
        <f t="shared" si="3"/>
        <v>PROGRAMSKO FINANCIRANJE JAVNIH VISOKIH UČILIŠTA</v>
      </c>
      <c r="I24" s="45" t="str">
        <f t="shared" si="4"/>
        <v>0942</v>
      </c>
      <c r="J24" s="224">
        <v>600</v>
      </c>
      <c r="K24" s="224">
        <v>600</v>
      </c>
      <c r="L24" s="224">
        <v>600</v>
      </c>
      <c r="M24" s="49"/>
      <c r="N24" s="246" t="str">
        <f>IF(C24="","",'OPĆI DIO'!$C$1)</f>
        <v>48267 SVEUČILIŠTE SJEVER</v>
      </c>
      <c r="O24" s="40" t="str">
        <f t="shared" si="5"/>
        <v>323</v>
      </c>
      <c r="P24" s="40" t="str">
        <f t="shared" si="6"/>
        <v>32</v>
      </c>
      <c r="Q24" s="40" t="str">
        <f t="shared" si="7"/>
        <v>11</v>
      </c>
      <c r="R24" s="40" t="str">
        <f t="shared" si="8"/>
        <v>94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11</v>
      </c>
      <c r="D25" s="45" t="str">
        <f t="shared" si="1"/>
        <v>Opći prihodi i primici</v>
      </c>
      <c r="E25" s="50">
        <v>3239</v>
      </c>
      <c r="F25" s="45" t="str">
        <f t="shared" si="2"/>
        <v>Ostale usluge</v>
      </c>
      <c r="G25" s="327" t="s">
        <v>665</v>
      </c>
      <c r="H25" s="45" t="str">
        <f t="shared" si="3"/>
        <v>PROGRAMSKO FINANCIRANJE JAVNIH VISOKIH UČILIŠTA</v>
      </c>
      <c r="I25" s="45" t="str">
        <f t="shared" si="4"/>
        <v>0942</v>
      </c>
      <c r="J25" s="224">
        <v>34000</v>
      </c>
      <c r="K25" s="224">
        <v>34000</v>
      </c>
      <c r="L25" s="224">
        <v>34000</v>
      </c>
      <c r="M25" s="49"/>
      <c r="N25" s="246" t="str">
        <f>IF(C25="","",'OPĆI DIO'!$C$1)</f>
        <v>48267 SVEUČILIŠTE SJEVER</v>
      </c>
      <c r="O25" s="40" t="str">
        <f t="shared" si="5"/>
        <v>323</v>
      </c>
      <c r="P25" s="40" t="str">
        <f t="shared" si="6"/>
        <v>32</v>
      </c>
      <c r="Q25" s="40" t="str">
        <f t="shared" si="7"/>
        <v>11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11</v>
      </c>
      <c r="D26" s="45" t="str">
        <f t="shared" si="1"/>
        <v>Opći prihodi i primici</v>
      </c>
      <c r="E26" s="50">
        <v>3241</v>
      </c>
      <c r="F26" s="45" t="str">
        <f t="shared" si="2"/>
        <v>Naknade troškova osobama izvan radnog odnosa</v>
      </c>
      <c r="G26" s="327" t="s">
        <v>665</v>
      </c>
      <c r="H26" s="45" t="str">
        <f t="shared" si="3"/>
        <v>PROGRAMSKO FINANCIRANJE JAVNIH VISOKIH UČILIŠTA</v>
      </c>
      <c r="I26" s="45" t="str">
        <f t="shared" si="4"/>
        <v>0942</v>
      </c>
      <c r="J26" s="224">
        <v>100000</v>
      </c>
      <c r="K26" s="224">
        <v>100000</v>
      </c>
      <c r="L26" s="224">
        <v>100000</v>
      </c>
      <c r="M26" s="49"/>
      <c r="N26" s="246" t="str">
        <f>IF(C26="","",'OPĆI DIO'!$C$1)</f>
        <v>48267 SVEUČILIŠTE SJEVER</v>
      </c>
      <c r="O26" s="40" t="str">
        <f t="shared" si="5"/>
        <v>324</v>
      </c>
      <c r="P26" s="40" t="str">
        <f t="shared" si="6"/>
        <v>32</v>
      </c>
      <c r="Q26" s="40" t="str">
        <f t="shared" si="7"/>
        <v>11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11</v>
      </c>
      <c r="D27" s="45" t="str">
        <f t="shared" si="1"/>
        <v>Opći prihodi i primici</v>
      </c>
      <c r="E27" s="50">
        <v>3292</v>
      </c>
      <c r="F27" s="45" t="str">
        <f t="shared" si="2"/>
        <v>Premije osiguranja</v>
      </c>
      <c r="G27" s="327" t="s">
        <v>665</v>
      </c>
      <c r="H27" s="45" t="str">
        <f t="shared" si="3"/>
        <v>PROGRAMSKO FINANCIRANJE JAVNIH VISOKIH UČILIŠTA</v>
      </c>
      <c r="I27" s="45" t="str">
        <f t="shared" si="4"/>
        <v>0942</v>
      </c>
      <c r="J27" s="224">
        <v>5309</v>
      </c>
      <c r="K27" s="224">
        <v>5309</v>
      </c>
      <c r="L27" s="224">
        <v>5309</v>
      </c>
      <c r="M27" s="49"/>
      <c r="N27" s="246" t="str">
        <f>IF(C27="","",'OPĆI DIO'!$C$1)</f>
        <v>48267 SVEUČILIŠTE SJEVER</v>
      </c>
      <c r="O27" s="40" t="str">
        <f t="shared" si="5"/>
        <v>329</v>
      </c>
      <c r="P27" s="40" t="str">
        <f t="shared" si="6"/>
        <v>32</v>
      </c>
      <c r="Q27" s="40" t="str">
        <f t="shared" si="7"/>
        <v>11</v>
      </c>
      <c r="R27" s="40" t="str">
        <f t="shared" si="8"/>
        <v>94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11</v>
      </c>
      <c r="D28" s="45" t="str">
        <f t="shared" si="1"/>
        <v>Opći prihodi i primici</v>
      </c>
      <c r="E28" s="50">
        <v>3294</v>
      </c>
      <c r="F28" s="45" t="str">
        <f t="shared" si="2"/>
        <v>Članarine i norme</v>
      </c>
      <c r="G28" s="327" t="s">
        <v>665</v>
      </c>
      <c r="H28" s="45" t="str">
        <f t="shared" si="3"/>
        <v>PROGRAMSKO FINANCIRANJE JAVNIH VISOKIH UČILIŠTA</v>
      </c>
      <c r="I28" s="45" t="str">
        <f t="shared" si="4"/>
        <v>0942</v>
      </c>
      <c r="J28" s="224">
        <v>14272</v>
      </c>
      <c r="K28" s="224">
        <v>14272</v>
      </c>
      <c r="L28" s="224">
        <v>14272</v>
      </c>
      <c r="M28" s="49"/>
      <c r="N28" s="246" t="str">
        <f>IF(C28="","",'OPĆI DIO'!$C$1)</f>
        <v>48267 SVEUČILIŠTE SJEVER</v>
      </c>
      <c r="O28" s="40" t="str">
        <f t="shared" si="5"/>
        <v>329</v>
      </c>
      <c r="P28" s="40" t="str">
        <f t="shared" si="6"/>
        <v>32</v>
      </c>
      <c r="Q28" s="40" t="str">
        <f t="shared" si="7"/>
        <v>11</v>
      </c>
      <c r="R28" s="40" t="str">
        <f t="shared" si="8"/>
        <v>94</v>
      </c>
      <c r="S28" s="40" t="str">
        <f t="shared" si="9"/>
        <v>3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11</v>
      </c>
      <c r="D29" s="45" t="str">
        <f t="shared" si="1"/>
        <v>Opći prihodi i primici</v>
      </c>
      <c r="E29" s="50">
        <v>3299</v>
      </c>
      <c r="F29" s="45" t="str">
        <f t="shared" si="2"/>
        <v>Ostali nespomenuti rashodi poslovanja</v>
      </c>
      <c r="G29" s="327" t="s">
        <v>665</v>
      </c>
      <c r="H29" s="45" t="str">
        <f t="shared" si="3"/>
        <v>PROGRAMSKO FINANCIRANJE JAVNIH VISOKIH UČILIŠTA</v>
      </c>
      <c r="I29" s="45" t="str">
        <f t="shared" si="4"/>
        <v>0942</v>
      </c>
      <c r="J29" s="224">
        <v>2500</v>
      </c>
      <c r="K29" s="224">
        <v>2500</v>
      </c>
      <c r="L29" s="224">
        <v>2500</v>
      </c>
      <c r="M29" s="49"/>
      <c r="N29" s="246" t="str">
        <f>IF(C29="","",'OPĆI DIO'!$C$1)</f>
        <v>48267 SVEUČILIŠTE SJEVER</v>
      </c>
      <c r="O29" s="40" t="str">
        <f t="shared" si="5"/>
        <v>329</v>
      </c>
      <c r="P29" s="40" t="str">
        <f t="shared" si="6"/>
        <v>32</v>
      </c>
      <c r="Q29" s="40" t="str">
        <f t="shared" si="7"/>
        <v>11</v>
      </c>
      <c r="R29" s="40" t="str">
        <f t="shared" si="8"/>
        <v>94</v>
      </c>
      <c r="S29" s="40" t="str">
        <f t="shared" si="9"/>
        <v>3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11</v>
      </c>
      <c r="D30" s="45" t="str">
        <f t="shared" si="1"/>
        <v>Opći prihodi i primici</v>
      </c>
      <c r="E30" s="50">
        <v>3721</v>
      </c>
      <c r="F30" s="45" t="str">
        <f t="shared" si="2"/>
        <v>Naknade građanima i kućanstvima u novcu</v>
      </c>
      <c r="G30" s="327" t="s">
        <v>665</v>
      </c>
      <c r="H30" s="45" t="str">
        <f t="shared" si="3"/>
        <v>PROGRAMSKO FINANCIRANJE JAVNIH VISOKIH UČILIŠTA</v>
      </c>
      <c r="I30" s="45" t="str">
        <f t="shared" si="4"/>
        <v>0942</v>
      </c>
      <c r="J30" s="224">
        <v>23000</v>
      </c>
      <c r="K30" s="224">
        <v>23000</v>
      </c>
      <c r="L30" s="224">
        <v>23000</v>
      </c>
      <c r="M30" s="49"/>
      <c r="N30" s="246" t="str">
        <f>IF(C30="","",'OPĆI DIO'!$C$1)</f>
        <v>48267 SVEUČILIŠTE SJEVER</v>
      </c>
      <c r="O30" s="40" t="str">
        <f t="shared" si="5"/>
        <v>372</v>
      </c>
      <c r="P30" s="40" t="str">
        <f t="shared" si="6"/>
        <v>37</v>
      </c>
      <c r="Q30" s="40" t="str">
        <f t="shared" si="7"/>
        <v>11</v>
      </c>
      <c r="R30" s="40" t="str">
        <f t="shared" si="8"/>
        <v>94</v>
      </c>
      <c r="S30" s="40" t="str">
        <f t="shared" si="9"/>
        <v>3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11</v>
      </c>
      <c r="D31" s="45" t="str">
        <f t="shared" si="1"/>
        <v>Opći prihodi i primici</v>
      </c>
      <c r="E31" s="50">
        <v>3811</v>
      </c>
      <c r="F31" s="45" t="str">
        <f t="shared" si="2"/>
        <v>Tekuće donacije u novcu</v>
      </c>
      <c r="G31" s="327" t="s">
        <v>665</v>
      </c>
      <c r="H31" s="45" t="str">
        <f t="shared" si="3"/>
        <v>PROGRAMSKO FINANCIRANJE JAVNIH VISOKIH UČILIŠTA</v>
      </c>
      <c r="I31" s="45" t="str">
        <f t="shared" si="4"/>
        <v>0942</v>
      </c>
      <c r="J31" s="224">
        <v>19000</v>
      </c>
      <c r="K31" s="224">
        <v>19000</v>
      </c>
      <c r="L31" s="224">
        <v>19000</v>
      </c>
      <c r="M31" s="49"/>
      <c r="N31" s="246" t="str">
        <f>IF(C31="","",'OPĆI DIO'!$C$1)</f>
        <v>48267 SVEUČILIŠTE SJEVER</v>
      </c>
      <c r="O31" s="40" t="str">
        <f t="shared" si="5"/>
        <v>381</v>
      </c>
      <c r="P31" s="40" t="str">
        <f t="shared" si="6"/>
        <v>38</v>
      </c>
      <c r="Q31" s="40" t="str">
        <f t="shared" si="7"/>
        <v>11</v>
      </c>
      <c r="R31" s="40" t="str">
        <f t="shared" si="8"/>
        <v>94</v>
      </c>
      <c r="S31" s="40" t="str">
        <f t="shared" si="9"/>
        <v>3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11</v>
      </c>
      <c r="D32" s="45" t="str">
        <f t="shared" si="1"/>
        <v>Opći prihodi i primici</v>
      </c>
      <c r="E32" s="50">
        <v>4123</v>
      </c>
      <c r="F32" s="45" t="str">
        <f t="shared" si="2"/>
        <v>Licence</v>
      </c>
      <c r="G32" s="327" t="s">
        <v>665</v>
      </c>
      <c r="H32" s="45" t="str">
        <f t="shared" si="3"/>
        <v>PROGRAMSKO FINANCIRANJE JAVNIH VISOKIH UČILIŠTA</v>
      </c>
      <c r="I32" s="45" t="str">
        <f t="shared" si="4"/>
        <v>0942</v>
      </c>
      <c r="J32" s="224">
        <v>32566</v>
      </c>
      <c r="K32" s="224">
        <v>32566</v>
      </c>
      <c r="L32" s="224">
        <v>32566</v>
      </c>
      <c r="M32" s="49"/>
      <c r="N32" s="246" t="str">
        <f>IF(C32="","",'OPĆI DIO'!$C$1)</f>
        <v>48267 SVEUČILIŠTE SJEVER</v>
      </c>
      <c r="O32" s="40" t="str">
        <f t="shared" si="5"/>
        <v>412</v>
      </c>
      <c r="P32" s="40" t="str">
        <f t="shared" si="6"/>
        <v>41</v>
      </c>
      <c r="Q32" s="40" t="str">
        <f t="shared" si="7"/>
        <v>11</v>
      </c>
      <c r="R32" s="40" t="str">
        <f t="shared" si="8"/>
        <v>94</v>
      </c>
      <c r="S32" s="40" t="str">
        <f t="shared" si="9"/>
        <v>4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11</v>
      </c>
      <c r="D33" s="45" t="str">
        <f t="shared" si="1"/>
        <v>Opći prihodi i primici</v>
      </c>
      <c r="E33" s="50">
        <v>4124</v>
      </c>
      <c r="F33" s="45" t="str">
        <f t="shared" si="2"/>
        <v>Ostala prava</v>
      </c>
      <c r="G33" s="327" t="s">
        <v>665</v>
      </c>
      <c r="H33" s="45" t="str">
        <f t="shared" si="3"/>
        <v>PROGRAMSKO FINANCIRANJE JAVNIH VISOKIH UČILIŠTA</v>
      </c>
      <c r="I33" s="45" t="str">
        <f t="shared" si="4"/>
        <v>0942</v>
      </c>
      <c r="J33" s="224">
        <v>25603</v>
      </c>
      <c r="K33" s="224">
        <v>25603</v>
      </c>
      <c r="L33" s="224">
        <v>25603</v>
      </c>
      <c r="M33" s="49"/>
      <c r="N33" s="246" t="str">
        <f>IF(C33="","",'OPĆI DIO'!$C$1)</f>
        <v>48267 SVEUČILIŠTE SJEVER</v>
      </c>
      <c r="O33" s="40" t="str">
        <f t="shared" si="5"/>
        <v>412</v>
      </c>
      <c r="P33" s="40" t="str">
        <f t="shared" si="6"/>
        <v>41</v>
      </c>
      <c r="Q33" s="40" t="str">
        <f t="shared" si="7"/>
        <v>11</v>
      </c>
      <c r="R33" s="40" t="str">
        <f t="shared" si="8"/>
        <v>94</v>
      </c>
      <c r="S33" s="40" t="str">
        <f t="shared" si="9"/>
        <v>4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11</v>
      </c>
      <c r="D34" s="45" t="str">
        <f t="shared" si="1"/>
        <v>Opći prihodi i primici</v>
      </c>
      <c r="E34" s="50">
        <v>4227</v>
      </c>
      <c r="F34" s="45" t="str">
        <f t="shared" si="2"/>
        <v>Uređaji, strojevi i oprema za ostale namjene</v>
      </c>
      <c r="G34" s="327" t="s">
        <v>665</v>
      </c>
      <c r="H34" s="45" t="str">
        <f t="shared" si="3"/>
        <v>PROGRAMSKO FINANCIRANJE JAVNIH VISOKIH UČILIŠTA</v>
      </c>
      <c r="I34" s="45" t="str">
        <f t="shared" si="4"/>
        <v>0942</v>
      </c>
      <c r="J34" s="224">
        <v>19453</v>
      </c>
      <c r="K34" s="224">
        <v>19453</v>
      </c>
      <c r="L34" s="224">
        <v>19453</v>
      </c>
      <c r="M34" s="49"/>
      <c r="N34" s="246" t="str">
        <f>IF(C34="","",'OPĆI DIO'!$C$1)</f>
        <v>48267 SVEUČILIŠTE SJEVER</v>
      </c>
      <c r="O34" s="40" t="str">
        <f t="shared" si="5"/>
        <v>422</v>
      </c>
      <c r="P34" s="40" t="str">
        <f t="shared" si="6"/>
        <v>42</v>
      </c>
      <c r="Q34" s="40" t="str">
        <f t="shared" si="7"/>
        <v>11</v>
      </c>
      <c r="R34" s="40" t="str">
        <f t="shared" si="8"/>
        <v>94</v>
      </c>
      <c r="S34" s="40" t="str">
        <f t="shared" si="9"/>
        <v>4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11</v>
      </c>
      <c r="D35" s="45" t="str">
        <f t="shared" si="1"/>
        <v>Opći prihodi i primici</v>
      </c>
      <c r="E35" s="50">
        <v>4241</v>
      </c>
      <c r="F35" s="45" t="str">
        <f t="shared" si="2"/>
        <v>Knjige</v>
      </c>
      <c r="G35" s="327" t="s">
        <v>665</v>
      </c>
      <c r="H35" s="45" t="str">
        <f t="shared" si="3"/>
        <v>PROGRAMSKO FINANCIRANJE JAVNIH VISOKIH UČILIŠTA</v>
      </c>
      <c r="I35" s="45" t="str">
        <f t="shared" si="4"/>
        <v>0942</v>
      </c>
      <c r="J35" s="224">
        <v>23235</v>
      </c>
      <c r="K35" s="224">
        <v>23235</v>
      </c>
      <c r="L35" s="224">
        <v>23235</v>
      </c>
      <c r="M35" s="49"/>
      <c r="N35" s="246" t="str">
        <f>IF(C35="","",'OPĆI DIO'!$C$1)</f>
        <v>48267 SVEUČILIŠTE SJEVER</v>
      </c>
      <c r="O35" s="40" t="str">
        <f t="shared" si="5"/>
        <v>424</v>
      </c>
      <c r="P35" s="40" t="str">
        <f t="shared" si="6"/>
        <v>42</v>
      </c>
      <c r="Q35" s="40" t="str">
        <f t="shared" si="7"/>
        <v>11</v>
      </c>
      <c r="R35" s="40" t="str">
        <f t="shared" si="8"/>
        <v>94</v>
      </c>
      <c r="S35" s="40" t="str">
        <f t="shared" si="9"/>
        <v>4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/>
      </c>
      <c r="B36" s="44" t="str">
        <f>IF(C36="","",VLOOKUP('OPĆI DIO'!$C$1,'OPĆI DIO'!$N$4:$W$137,9,FALSE))</f>
        <v/>
      </c>
      <c r="C36" s="50"/>
      <c r="D36" s="45" t="str">
        <f t="shared" si="1"/>
        <v/>
      </c>
      <c r="E36" s="50"/>
      <c r="F36" s="45" t="str">
        <f t="shared" si="2"/>
        <v/>
      </c>
      <c r="G36" s="327"/>
      <c r="H36" s="45" t="str">
        <f t="shared" si="3"/>
        <v/>
      </c>
      <c r="I36" s="45" t="str">
        <f t="shared" si="4"/>
        <v/>
      </c>
      <c r="J36" s="224"/>
      <c r="K36" s="224"/>
      <c r="L36" s="224"/>
      <c r="M36" s="49"/>
      <c r="N36" s="246" t="str">
        <f>IF(C36="","",'OPĆI DIO'!$C$1)</f>
        <v/>
      </c>
      <c r="O36" s="40" t="str">
        <f t="shared" si="5"/>
        <v/>
      </c>
      <c r="P36" s="40" t="str">
        <f t="shared" si="6"/>
        <v/>
      </c>
      <c r="Q36" s="40" t="str">
        <f t="shared" si="7"/>
        <v/>
      </c>
      <c r="R36" s="40" t="str">
        <f t="shared" si="8"/>
        <v/>
      </c>
      <c r="S36" s="40" t="str">
        <f t="shared" si="9"/>
        <v/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/>
      </c>
      <c r="B37" s="44" t="str">
        <f>IF(C37="","",VLOOKUP('OPĆI DIO'!$C$1,'OPĆI DIO'!$N$4:$W$137,9,FALSE))</f>
        <v/>
      </c>
      <c r="C37" s="50"/>
      <c r="D37" s="45" t="str">
        <f t="shared" si="1"/>
        <v/>
      </c>
      <c r="E37" s="50"/>
      <c r="F37" s="45" t="str">
        <f t="shared" si="2"/>
        <v/>
      </c>
      <c r="G37" s="327"/>
      <c r="H37" s="45" t="str">
        <f>IFERROR(VLOOKUP(#REF!,$AC$6:$AD$344,2,FALSE),"")</f>
        <v/>
      </c>
      <c r="I37" s="45" t="str">
        <f>IFERROR(VLOOKUP(#REF!,$AC$6:$AG$344,3,FALSE),"")</f>
        <v/>
      </c>
      <c r="J37" s="224"/>
      <c r="K37" s="224">
        <v>0</v>
      </c>
      <c r="L37" s="224">
        <v>0</v>
      </c>
      <c r="M37" s="49"/>
      <c r="N37" s="246" t="str">
        <f>IF(C37="","",'OPĆI DIO'!$C$1)</f>
        <v/>
      </c>
      <c r="O37" s="40" t="str">
        <f t="shared" si="5"/>
        <v/>
      </c>
      <c r="P37" s="40" t="str">
        <f t="shared" si="6"/>
        <v/>
      </c>
      <c r="Q37" s="40" t="str">
        <f t="shared" si="7"/>
        <v/>
      </c>
      <c r="R37" s="40" t="str">
        <f t="shared" si="8"/>
        <v/>
      </c>
      <c r="S37" s="40" t="str">
        <f t="shared" si="9"/>
        <v/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11</v>
      </c>
      <c r="D38" s="45" t="str">
        <f t="shared" si="1"/>
        <v>Opći prihodi i primici</v>
      </c>
      <c r="E38" s="50">
        <v>3237</v>
      </c>
      <c r="F38" s="45" t="str">
        <f t="shared" si="2"/>
        <v>Intelektualne i osobne usluge</v>
      </c>
      <c r="G38" s="327" t="s">
        <v>1471</v>
      </c>
      <c r="H38" s="45" t="str">
        <f t="shared" si="3"/>
        <v>POTPORA UMJETNIČKIM STUDIJIMA</v>
      </c>
      <c r="I38" s="45" t="str">
        <f t="shared" si="4"/>
        <v>0942</v>
      </c>
      <c r="J38" s="224">
        <v>50276</v>
      </c>
      <c r="K38" s="224">
        <v>50276</v>
      </c>
      <c r="L38" s="224">
        <v>50276</v>
      </c>
      <c r="M38" s="49"/>
      <c r="N38" s="246" t="str">
        <f>IF(C38="","",'OPĆI DIO'!$C$1)</f>
        <v>48267 SVEUČILIŠTE SJEVER</v>
      </c>
      <c r="O38" s="40" t="str">
        <f t="shared" si="5"/>
        <v>323</v>
      </c>
      <c r="P38" s="40" t="str">
        <f t="shared" si="6"/>
        <v>32</v>
      </c>
      <c r="Q38" s="40" t="str">
        <f t="shared" si="7"/>
        <v>11</v>
      </c>
      <c r="R38" s="40" t="str">
        <f t="shared" si="8"/>
        <v>94</v>
      </c>
      <c r="S38" s="40" t="str">
        <f t="shared" si="9"/>
        <v>3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/>
      </c>
      <c r="B39" s="44" t="str">
        <f>IF(C39="","",VLOOKUP('OPĆI DIO'!$C$1,'OPĆI DIO'!$N$4:$W$137,9,FALSE))</f>
        <v/>
      </c>
      <c r="C39" s="326"/>
      <c r="D39" s="45" t="str">
        <f t="shared" si="1"/>
        <v/>
      </c>
      <c r="E39" s="326"/>
      <c r="F39" s="45" t="str">
        <f t="shared" si="2"/>
        <v/>
      </c>
      <c r="G39" s="327"/>
      <c r="H39" s="45" t="str">
        <f t="shared" si="3"/>
        <v/>
      </c>
      <c r="I39" s="45" t="str">
        <f t="shared" si="4"/>
        <v/>
      </c>
      <c r="J39" s="224"/>
      <c r="K39" s="224"/>
      <c r="L39" s="224"/>
      <c r="M39" s="49"/>
      <c r="N39" s="246" t="str">
        <f>IF(C39="","",'OPĆI DIO'!$C$1)</f>
        <v/>
      </c>
      <c r="O39" s="40" t="str">
        <f t="shared" si="5"/>
        <v/>
      </c>
      <c r="P39" s="40" t="str">
        <f t="shared" si="6"/>
        <v/>
      </c>
      <c r="Q39" s="40" t="str">
        <f t="shared" si="7"/>
        <v/>
      </c>
      <c r="R39" s="40" t="str">
        <f t="shared" si="8"/>
        <v/>
      </c>
      <c r="S39" s="40" t="str">
        <f t="shared" si="9"/>
        <v/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/>
      </c>
      <c r="B40" s="44" t="str">
        <f>IF(C40="","",VLOOKUP('OPĆI DIO'!$C$1,'OPĆI DIO'!$N$4:$W$137,9,FALSE))</f>
        <v/>
      </c>
      <c r="C40" s="50"/>
      <c r="D40" s="45" t="str">
        <f t="shared" si="1"/>
        <v/>
      </c>
      <c r="E40" s="50"/>
      <c r="F40" s="45" t="str">
        <f t="shared" si="2"/>
        <v/>
      </c>
      <c r="G40" s="327"/>
      <c r="H40" s="45" t="str">
        <f t="shared" si="3"/>
        <v/>
      </c>
      <c r="I40" s="45" t="str">
        <f t="shared" si="4"/>
        <v/>
      </c>
      <c r="J40" s="224"/>
      <c r="K40" s="224"/>
      <c r="L40" s="224"/>
      <c r="M40" s="49"/>
      <c r="N40" s="246" t="str">
        <f>IF(C40="","",'OPĆI DIO'!$C$1)</f>
        <v/>
      </c>
      <c r="O40" s="40" t="str">
        <f t="shared" si="5"/>
        <v/>
      </c>
      <c r="P40" s="40" t="str">
        <f t="shared" si="6"/>
        <v/>
      </c>
      <c r="Q40" s="40" t="str">
        <f t="shared" si="7"/>
        <v/>
      </c>
      <c r="R40" s="40" t="str">
        <f t="shared" si="8"/>
        <v/>
      </c>
      <c r="S40" s="40" t="str">
        <f t="shared" si="9"/>
        <v/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31</v>
      </c>
      <c r="D41" s="45" t="str">
        <f t="shared" si="1"/>
        <v>Vlastiti prihodi</v>
      </c>
      <c r="E41" s="50">
        <v>3111</v>
      </c>
      <c r="F41" s="45" t="str">
        <f t="shared" si="2"/>
        <v>Plaće za redovan rad</v>
      </c>
      <c r="G41" s="327" t="s">
        <v>193</v>
      </c>
      <c r="H41" s="45" t="str">
        <f t="shared" si="3"/>
        <v>REDOVNA DJELATNOST SVEUČILIŠTA SJEVER (IZ EVIDENCIJSKIH PRIHODA)</v>
      </c>
      <c r="I41" s="45" t="str">
        <f t="shared" si="4"/>
        <v>0942</v>
      </c>
      <c r="J41" s="224">
        <v>10000</v>
      </c>
      <c r="K41" s="224">
        <v>10500</v>
      </c>
      <c r="L41" s="224">
        <v>11025</v>
      </c>
      <c r="M41" s="49"/>
      <c r="N41" s="246" t="str">
        <f>IF(C41="","",'OPĆI DIO'!$C$1)</f>
        <v>48267 SVEUČILIŠTE SJEVER</v>
      </c>
      <c r="O41" s="40" t="str">
        <f t="shared" si="5"/>
        <v>311</v>
      </c>
      <c r="P41" s="40" t="str">
        <f t="shared" si="6"/>
        <v>31</v>
      </c>
      <c r="Q41" s="40" t="str">
        <f t="shared" si="7"/>
        <v>31</v>
      </c>
      <c r="R41" s="40" t="str">
        <f t="shared" si="8"/>
        <v>94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31</v>
      </c>
      <c r="D42" s="45" t="str">
        <f t="shared" si="1"/>
        <v>Vlastiti prihodi</v>
      </c>
      <c r="E42" s="50">
        <v>3132</v>
      </c>
      <c r="F42" s="45" t="str">
        <f t="shared" si="2"/>
        <v>Doprinosi za obvezno zdravstveno osiguranje</v>
      </c>
      <c r="G42" s="327" t="s">
        <v>193</v>
      </c>
      <c r="H42" s="45" t="str">
        <f t="shared" si="3"/>
        <v>REDOVNA DJELATNOST SVEUČILIŠTA SJEVER (IZ EVIDENCIJSKIH PRIHODA)</v>
      </c>
      <c r="I42" s="45" t="str">
        <f t="shared" si="4"/>
        <v>0942</v>
      </c>
      <c r="J42" s="224">
        <v>1650</v>
      </c>
      <c r="K42" s="224">
        <v>1733</v>
      </c>
      <c r="L42" s="224">
        <v>1819</v>
      </c>
      <c r="M42" s="49"/>
      <c r="N42" s="246" t="str">
        <f>IF(C42="","",'OPĆI DIO'!$C$1)</f>
        <v>48267 SVEUČILIŠTE SJEVER</v>
      </c>
      <c r="O42" s="40" t="str">
        <f t="shared" si="5"/>
        <v>313</v>
      </c>
      <c r="P42" s="40" t="str">
        <f t="shared" si="6"/>
        <v>31</v>
      </c>
      <c r="Q42" s="40" t="str">
        <f t="shared" si="7"/>
        <v>31</v>
      </c>
      <c r="R42" s="40" t="str">
        <f t="shared" si="8"/>
        <v>94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31</v>
      </c>
      <c r="D43" s="45" t="str">
        <f t="shared" si="1"/>
        <v>Vlastiti prihodi</v>
      </c>
      <c r="E43" s="50">
        <v>3211</v>
      </c>
      <c r="F43" s="45" t="str">
        <f t="shared" si="2"/>
        <v>Službena putovanja</v>
      </c>
      <c r="G43" s="327" t="s">
        <v>193</v>
      </c>
      <c r="H43" s="45" t="str">
        <f t="shared" si="3"/>
        <v>REDOVNA DJELATNOST SVEUČILIŠTA SJEVER (IZ EVIDENCIJSKIH PRIHODA)</v>
      </c>
      <c r="I43" s="45" t="str">
        <f t="shared" si="4"/>
        <v>0942</v>
      </c>
      <c r="J43" s="224">
        <v>21000</v>
      </c>
      <c r="K43" s="224">
        <v>25000</v>
      </c>
      <c r="L43" s="224">
        <v>35000</v>
      </c>
      <c r="M43" s="49"/>
      <c r="N43" s="246" t="str">
        <f>IF(C43="","",'OPĆI DIO'!$C$1)</f>
        <v>48267 SVEUČILIŠTE SJEVER</v>
      </c>
      <c r="O43" s="40" t="str">
        <f t="shared" si="5"/>
        <v>321</v>
      </c>
      <c r="P43" s="40" t="str">
        <f t="shared" si="6"/>
        <v>32</v>
      </c>
      <c r="Q43" s="40" t="str">
        <f t="shared" si="7"/>
        <v>31</v>
      </c>
      <c r="R43" s="40" t="str">
        <f t="shared" si="8"/>
        <v>94</v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31</v>
      </c>
      <c r="D44" s="45" t="str">
        <f t="shared" si="1"/>
        <v>Vlastiti prihodi</v>
      </c>
      <c r="E44" s="50">
        <v>3221</v>
      </c>
      <c r="F44" s="45" t="str">
        <f t="shared" si="2"/>
        <v>Uredski materijal i ostali materijalni rashodi</v>
      </c>
      <c r="G44" s="327" t="s">
        <v>193</v>
      </c>
      <c r="H44" s="45" t="str">
        <f t="shared" si="3"/>
        <v>REDOVNA DJELATNOST SVEUČILIŠTA SJEVER (IZ EVIDENCIJSKIH PRIHODA)</v>
      </c>
      <c r="I44" s="45" t="str">
        <f t="shared" si="4"/>
        <v>0942</v>
      </c>
      <c r="J44" s="224">
        <v>2000</v>
      </c>
      <c r="K44" s="224">
        <v>3000</v>
      </c>
      <c r="L44" s="224">
        <v>4000</v>
      </c>
      <c r="M44" s="49"/>
      <c r="N44" s="246" t="str">
        <f>IF(C44="","",'OPĆI DIO'!$C$1)</f>
        <v>48267 SVEUČILIŠTE SJEVER</v>
      </c>
      <c r="O44" s="40" t="str">
        <f t="shared" si="5"/>
        <v>322</v>
      </c>
      <c r="P44" s="40" t="str">
        <f t="shared" si="6"/>
        <v>32</v>
      </c>
      <c r="Q44" s="40" t="str">
        <f t="shared" si="7"/>
        <v>31</v>
      </c>
      <c r="R44" s="40" t="str">
        <f t="shared" si="8"/>
        <v>94</v>
      </c>
      <c r="S44" s="40" t="str">
        <f t="shared" si="9"/>
        <v>3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31</v>
      </c>
      <c r="D45" s="45" t="str">
        <f t="shared" si="1"/>
        <v>Vlastiti prihodi</v>
      </c>
      <c r="E45" s="50">
        <v>3222</v>
      </c>
      <c r="F45" s="45" t="str">
        <f t="shared" si="2"/>
        <v>Materijal i sirovine</v>
      </c>
      <c r="G45" s="327" t="s">
        <v>193</v>
      </c>
      <c r="H45" s="45" t="str">
        <f t="shared" si="3"/>
        <v>REDOVNA DJELATNOST SVEUČILIŠTA SJEVER (IZ EVIDENCIJSKIH PRIHODA)</v>
      </c>
      <c r="I45" s="45" t="str">
        <f t="shared" si="4"/>
        <v>0942</v>
      </c>
      <c r="J45" s="224">
        <v>6664</v>
      </c>
      <c r="K45" s="224">
        <v>6998</v>
      </c>
      <c r="L45" s="224">
        <v>7350</v>
      </c>
      <c r="M45" s="49"/>
      <c r="N45" s="246" t="str">
        <f>IF(C45="","",'OPĆI DIO'!$C$1)</f>
        <v>48267 SVEUČILIŠTE SJEVER</v>
      </c>
      <c r="O45" s="40" t="str">
        <f t="shared" si="5"/>
        <v>322</v>
      </c>
      <c r="P45" s="40" t="str">
        <f t="shared" si="6"/>
        <v>32</v>
      </c>
      <c r="Q45" s="40" t="str">
        <f t="shared" si="7"/>
        <v>31</v>
      </c>
      <c r="R45" s="40" t="str">
        <f t="shared" si="8"/>
        <v>94</v>
      </c>
      <c r="S45" s="40" t="str">
        <f t="shared" si="9"/>
        <v>3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31</v>
      </c>
      <c r="D46" s="45" t="str">
        <f t="shared" si="1"/>
        <v>Vlastiti prihodi</v>
      </c>
      <c r="E46" s="50">
        <v>3231</v>
      </c>
      <c r="F46" s="45" t="str">
        <f t="shared" si="2"/>
        <v>Usluge telefona, pošte i prijevoza</v>
      </c>
      <c r="G46" s="327" t="s">
        <v>193</v>
      </c>
      <c r="H46" s="45" t="str">
        <f>IFERROR(VLOOKUP(G37,$AC$6:$AD$344,2,FALSE),"")</f>
        <v/>
      </c>
      <c r="I46" s="45" t="str">
        <f>IFERROR(VLOOKUP(G37,$AC$6:$AG$344,3,FALSE),"")</f>
        <v/>
      </c>
      <c r="J46" s="224">
        <v>1000</v>
      </c>
      <c r="K46" s="224">
        <v>2000</v>
      </c>
      <c r="L46" s="224">
        <v>3000</v>
      </c>
      <c r="M46" s="49"/>
      <c r="N46" s="246" t="str">
        <f>IF(C46="","",'OPĆI DIO'!$C$1)</f>
        <v>48267 SVEUČILIŠTE SJEVER</v>
      </c>
      <c r="O46" s="40" t="str">
        <f t="shared" si="5"/>
        <v>323</v>
      </c>
      <c r="P46" s="40" t="str">
        <f t="shared" si="6"/>
        <v>32</v>
      </c>
      <c r="Q46" s="40" t="str">
        <f t="shared" si="7"/>
        <v>31</v>
      </c>
      <c r="R46" s="40" t="str">
        <f t="shared" si="8"/>
        <v/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31</v>
      </c>
      <c r="D47" s="45" t="str">
        <f t="shared" si="1"/>
        <v>Vlastiti prihodi</v>
      </c>
      <c r="E47" s="50">
        <v>3233</v>
      </c>
      <c r="F47" s="45" t="str">
        <f t="shared" si="2"/>
        <v>Usluge promidžbe i informiranja</v>
      </c>
      <c r="G47" s="327" t="s">
        <v>193</v>
      </c>
      <c r="H47" s="45" t="str">
        <f t="shared" si="3"/>
        <v>REDOVNA DJELATNOST SVEUČILIŠTA SJEVER (IZ EVIDENCIJSKIH PRIHODA)</v>
      </c>
      <c r="I47" s="45" t="str">
        <f t="shared" si="4"/>
        <v>0942</v>
      </c>
      <c r="J47" s="224">
        <v>116843</v>
      </c>
      <c r="K47" s="224">
        <v>120000</v>
      </c>
      <c r="L47" s="224">
        <v>125000</v>
      </c>
      <c r="M47" s="49"/>
      <c r="N47" s="246" t="str">
        <f>IF(C47="","",'OPĆI DIO'!$C$1)</f>
        <v>48267 SVEUČILIŠTE SJEVER</v>
      </c>
      <c r="O47" s="40" t="str">
        <f t="shared" si="5"/>
        <v>323</v>
      </c>
      <c r="P47" s="40" t="str">
        <f t="shared" si="6"/>
        <v>32</v>
      </c>
      <c r="Q47" s="40" t="str">
        <f t="shared" si="7"/>
        <v>31</v>
      </c>
      <c r="R47" s="40" t="str">
        <f t="shared" si="8"/>
        <v>94</v>
      </c>
      <c r="S47" s="40" t="str">
        <f t="shared" si="9"/>
        <v>3</v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31</v>
      </c>
      <c r="D48" s="45" t="str">
        <f t="shared" si="1"/>
        <v>Vlastiti prihodi</v>
      </c>
      <c r="E48" s="50">
        <v>3235</v>
      </c>
      <c r="F48" s="45" t="str">
        <f t="shared" si="2"/>
        <v>Zakupnine i najamnine</v>
      </c>
      <c r="G48" s="327" t="s">
        <v>193</v>
      </c>
      <c r="H48" s="45" t="str">
        <f t="shared" si="3"/>
        <v>REDOVNA DJELATNOST SVEUČILIŠTA SJEVER (IZ EVIDENCIJSKIH PRIHODA)</v>
      </c>
      <c r="I48" s="45" t="str">
        <f t="shared" si="4"/>
        <v>0942</v>
      </c>
      <c r="J48" s="224">
        <v>12000</v>
      </c>
      <c r="K48" s="224">
        <v>10000</v>
      </c>
      <c r="L48" s="224">
        <v>10000</v>
      </c>
      <c r="M48" s="49"/>
      <c r="N48" s="246" t="str">
        <f>IF(C48="","",'OPĆI DIO'!$C$1)</f>
        <v>48267 SVEUČILIŠTE SJEVER</v>
      </c>
      <c r="O48" s="40" t="str">
        <f t="shared" si="5"/>
        <v>323</v>
      </c>
      <c r="P48" s="40" t="str">
        <f t="shared" si="6"/>
        <v>32</v>
      </c>
      <c r="Q48" s="40" t="str">
        <f t="shared" si="7"/>
        <v>31</v>
      </c>
      <c r="R48" s="40" t="str">
        <f t="shared" si="8"/>
        <v>94</v>
      </c>
      <c r="S48" s="40" t="str">
        <f t="shared" si="9"/>
        <v>3</v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31</v>
      </c>
      <c r="D49" s="45" t="str">
        <f t="shared" si="1"/>
        <v>Vlastiti prihodi</v>
      </c>
      <c r="E49" s="50">
        <v>3237</v>
      </c>
      <c r="F49" s="45" t="str">
        <f t="shared" si="2"/>
        <v>Intelektualne i osobne usluge</v>
      </c>
      <c r="G49" s="327" t="s">
        <v>193</v>
      </c>
      <c r="H49" s="45" t="str">
        <f t="shared" si="3"/>
        <v>REDOVNA DJELATNOST SVEUČILIŠTA SJEVER (IZ EVIDENCIJSKIH PRIHODA)</v>
      </c>
      <c r="I49" s="45" t="str">
        <f t="shared" si="4"/>
        <v>0942</v>
      </c>
      <c r="J49" s="224">
        <v>182000</v>
      </c>
      <c r="K49" s="224">
        <v>150000</v>
      </c>
      <c r="L49" s="224">
        <v>140000</v>
      </c>
      <c r="M49" s="49"/>
      <c r="N49" s="246" t="str">
        <f>IF(C49="","",'OPĆI DIO'!$C$1)</f>
        <v>48267 SVEUČILIŠTE SJEVER</v>
      </c>
      <c r="O49" s="40" t="str">
        <f t="shared" si="5"/>
        <v>323</v>
      </c>
      <c r="P49" s="40" t="str">
        <f t="shared" si="6"/>
        <v>32</v>
      </c>
      <c r="Q49" s="40" t="str">
        <f t="shared" si="7"/>
        <v>31</v>
      </c>
      <c r="R49" s="40" t="str">
        <f t="shared" si="8"/>
        <v>94</v>
      </c>
      <c r="S49" s="40" t="str">
        <f t="shared" si="9"/>
        <v>3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31</v>
      </c>
      <c r="D50" s="45" t="str">
        <f t="shared" si="1"/>
        <v>Vlastiti prihodi</v>
      </c>
      <c r="E50" s="50">
        <v>3239</v>
      </c>
      <c r="F50" s="45" t="str">
        <f t="shared" si="2"/>
        <v>Ostale usluge</v>
      </c>
      <c r="G50" s="327" t="s">
        <v>193</v>
      </c>
      <c r="H50" s="45" t="str">
        <f t="shared" si="3"/>
        <v>REDOVNA DJELATNOST SVEUČILIŠTA SJEVER (IZ EVIDENCIJSKIH PRIHODA)</v>
      </c>
      <c r="I50" s="45" t="str">
        <f t="shared" si="4"/>
        <v>0942</v>
      </c>
      <c r="J50" s="224">
        <v>4042</v>
      </c>
      <c r="K50" s="224">
        <v>5000</v>
      </c>
      <c r="L50" s="224">
        <v>6000</v>
      </c>
      <c r="M50" s="49"/>
      <c r="N50" s="246" t="str">
        <f>IF(C50="","",'OPĆI DIO'!$C$1)</f>
        <v>48267 SVEUČILIŠTE SJEVER</v>
      </c>
      <c r="O50" s="40" t="str">
        <f t="shared" si="5"/>
        <v>323</v>
      </c>
      <c r="P50" s="40" t="str">
        <f t="shared" si="6"/>
        <v>32</v>
      </c>
      <c r="Q50" s="40" t="str">
        <f t="shared" si="7"/>
        <v>31</v>
      </c>
      <c r="R50" s="40" t="str">
        <f t="shared" si="8"/>
        <v>94</v>
      </c>
      <c r="S50" s="40" t="str">
        <f t="shared" si="9"/>
        <v>3</v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31</v>
      </c>
      <c r="D51" s="45" t="str">
        <f t="shared" si="1"/>
        <v>Vlastiti prihodi</v>
      </c>
      <c r="E51" s="50">
        <v>3241</v>
      </c>
      <c r="F51" s="45" t="str">
        <f t="shared" si="2"/>
        <v>Naknade troškova osobama izvan radnog odnosa</v>
      </c>
      <c r="G51" s="327" t="s">
        <v>193</v>
      </c>
      <c r="H51" s="45" t="str">
        <f t="shared" si="3"/>
        <v>REDOVNA DJELATNOST SVEUČILIŠTA SJEVER (IZ EVIDENCIJSKIH PRIHODA)</v>
      </c>
      <c r="I51" s="45" t="str">
        <f t="shared" si="4"/>
        <v>0942</v>
      </c>
      <c r="J51" s="224">
        <v>2000</v>
      </c>
      <c r="K51" s="224">
        <v>5000</v>
      </c>
      <c r="L51" s="224">
        <v>7000</v>
      </c>
      <c r="M51" s="49"/>
      <c r="N51" s="246" t="str">
        <f>IF(C51="","",'OPĆI DIO'!$C$1)</f>
        <v>48267 SVEUČILIŠTE SJEVER</v>
      </c>
      <c r="O51" s="40" t="str">
        <f t="shared" si="5"/>
        <v>324</v>
      </c>
      <c r="P51" s="40" t="str">
        <f t="shared" si="6"/>
        <v>32</v>
      </c>
      <c r="Q51" s="40" t="str">
        <f t="shared" si="7"/>
        <v>31</v>
      </c>
      <c r="R51" s="40" t="str">
        <f t="shared" si="8"/>
        <v>94</v>
      </c>
      <c r="S51" s="40" t="str">
        <f t="shared" si="9"/>
        <v>3</v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31</v>
      </c>
      <c r="D52" s="45" t="str">
        <f t="shared" si="1"/>
        <v>Vlastiti prihodi</v>
      </c>
      <c r="E52" s="50">
        <v>3293</v>
      </c>
      <c r="F52" s="45" t="str">
        <f t="shared" si="2"/>
        <v>Reprezentacija</v>
      </c>
      <c r="G52" s="327" t="s">
        <v>193</v>
      </c>
      <c r="H52" s="45" t="str">
        <f t="shared" si="3"/>
        <v>REDOVNA DJELATNOST SVEUČILIŠTA SJEVER (IZ EVIDENCIJSKIH PRIHODA)</v>
      </c>
      <c r="I52" s="45" t="str">
        <f t="shared" si="4"/>
        <v>0942</v>
      </c>
      <c r="J52" s="224">
        <v>31776</v>
      </c>
      <c r="K52" s="224">
        <v>30000</v>
      </c>
      <c r="L52" s="224">
        <v>30000</v>
      </c>
      <c r="M52" s="49"/>
      <c r="N52" s="246" t="str">
        <f>IF(C52="","",'OPĆI DIO'!$C$1)</f>
        <v>48267 SVEUČILIŠTE SJEVER</v>
      </c>
      <c r="O52" s="40" t="str">
        <f t="shared" si="5"/>
        <v>329</v>
      </c>
      <c r="P52" s="40" t="str">
        <f t="shared" si="6"/>
        <v>32</v>
      </c>
      <c r="Q52" s="40" t="str">
        <f t="shared" si="7"/>
        <v>31</v>
      </c>
      <c r="R52" s="40" t="str">
        <f t="shared" si="8"/>
        <v>94</v>
      </c>
      <c r="S52" s="40" t="str">
        <f t="shared" si="9"/>
        <v>3</v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31</v>
      </c>
      <c r="D53" s="45" t="str">
        <f t="shared" si="1"/>
        <v>Vlastiti prihodi</v>
      </c>
      <c r="E53" s="50">
        <v>3295</v>
      </c>
      <c r="F53" s="45" t="str">
        <f t="shared" si="2"/>
        <v>Pristojbe i naknade</v>
      </c>
      <c r="G53" s="327" t="s">
        <v>193</v>
      </c>
      <c r="H53" s="45" t="str">
        <f t="shared" si="3"/>
        <v>REDOVNA DJELATNOST SVEUČILIŠTA SJEVER (IZ EVIDENCIJSKIH PRIHODA)</v>
      </c>
      <c r="I53" s="45" t="str">
        <f t="shared" si="4"/>
        <v>0942</v>
      </c>
      <c r="J53" s="224">
        <v>500</v>
      </c>
      <c r="K53" s="224">
        <v>1000</v>
      </c>
      <c r="L53" s="224">
        <v>1000</v>
      </c>
      <c r="M53" s="49"/>
      <c r="N53" s="246" t="str">
        <f>IF(C53="","",'OPĆI DIO'!$C$1)</f>
        <v>48267 SVEUČILIŠTE SJEVER</v>
      </c>
      <c r="O53" s="40" t="str">
        <f t="shared" si="5"/>
        <v>329</v>
      </c>
      <c r="P53" s="40" t="str">
        <f t="shared" si="6"/>
        <v>32</v>
      </c>
      <c r="Q53" s="40" t="str">
        <f t="shared" si="7"/>
        <v>31</v>
      </c>
      <c r="R53" s="40" t="str">
        <f t="shared" si="8"/>
        <v>94</v>
      </c>
      <c r="S53" s="40" t="str">
        <f t="shared" si="9"/>
        <v>3</v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31</v>
      </c>
      <c r="D54" s="45" t="str">
        <f t="shared" si="1"/>
        <v>Vlastiti prihodi</v>
      </c>
      <c r="E54" s="50">
        <v>3299</v>
      </c>
      <c r="F54" s="45" t="str">
        <f t="shared" si="2"/>
        <v>Ostali nespomenuti rashodi poslovanja</v>
      </c>
      <c r="G54" s="327" t="s">
        <v>193</v>
      </c>
      <c r="H54" s="45" t="str">
        <f t="shared" si="3"/>
        <v>REDOVNA DJELATNOST SVEUČILIŠTA SJEVER (IZ EVIDENCIJSKIH PRIHODA)</v>
      </c>
      <c r="I54" s="45" t="str">
        <f t="shared" si="4"/>
        <v>0942</v>
      </c>
      <c r="J54" s="224">
        <v>5000</v>
      </c>
      <c r="K54" s="224">
        <v>7000</v>
      </c>
      <c r="L54" s="224">
        <v>8000</v>
      </c>
      <c r="M54" s="49"/>
      <c r="N54" s="246" t="str">
        <f>IF(C54="","",'OPĆI DIO'!$C$1)</f>
        <v>48267 SVEUČILIŠTE SJEVER</v>
      </c>
      <c r="O54" s="40" t="str">
        <f t="shared" si="5"/>
        <v>329</v>
      </c>
      <c r="P54" s="40" t="str">
        <f t="shared" si="6"/>
        <v>32</v>
      </c>
      <c r="Q54" s="40" t="str">
        <f t="shared" si="7"/>
        <v>31</v>
      </c>
      <c r="R54" s="40" t="str">
        <f t="shared" si="8"/>
        <v>94</v>
      </c>
      <c r="S54" s="40" t="str">
        <f t="shared" si="9"/>
        <v>3</v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/>
      </c>
      <c r="B55" s="44" t="str">
        <f>IF(C55="","",VLOOKUP('OPĆI DIO'!$C$1,'OPĆI DIO'!$N$4:$W$137,9,FALSE))</f>
        <v/>
      </c>
      <c r="C55" s="50"/>
      <c r="D55" s="45" t="str">
        <f t="shared" si="1"/>
        <v/>
      </c>
      <c r="E55" s="50"/>
      <c r="F55" s="45" t="str">
        <f t="shared" si="2"/>
        <v/>
      </c>
      <c r="G55" s="328"/>
      <c r="H55" s="45" t="str">
        <f t="shared" si="3"/>
        <v/>
      </c>
      <c r="I55" s="45" t="str">
        <f t="shared" si="4"/>
        <v/>
      </c>
      <c r="J55" s="224"/>
      <c r="K55" s="224"/>
      <c r="L55" s="224"/>
      <c r="M55" s="49"/>
      <c r="N55" s="246" t="str">
        <f>IF(C55="","",'OPĆI DIO'!$C$1)</f>
        <v/>
      </c>
      <c r="O55" s="40" t="str">
        <f t="shared" si="5"/>
        <v/>
      </c>
      <c r="P55" s="40" t="str">
        <f t="shared" si="6"/>
        <v/>
      </c>
      <c r="Q55" s="40" t="str">
        <f t="shared" si="7"/>
        <v/>
      </c>
      <c r="R55" s="40" t="str">
        <f t="shared" si="8"/>
        <v/>
      </c>
      <c r="S55" s="40" t="str">
        <f t="shared" si="9"/>
        <v/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/>
      </c>
      <c r="B56" s="44" t="str">
        <f>IF(C56="","",VLOOKUP('OPĆI DIO'!$C$1,'OPĆI DIO'!$N$4:$W$137,9,FALSE))</f>
        <v/>
      </c>
      <c r="C56" s="50"/>
      <c r="D56" s="45" t="str">
        <f t="shared" si="1"/>
        <v/>
      </c>
      <c r="E56" s="50"/>
      <c r="F56" s="45" t="str">
        <f t="shared" si="2"/>
        <v/>
      </c>
      <c r="G56" s="328"/>
      <c r="H56" s="45" t="str">
        <f t="shared" si="3"/>
        <v/>
      </c>
      <c r="I56" s="45" t="str">
        <f t="shared" si="4"/>
        <v/>
      </c>
      <c r="J56" s="224"/>
      <c r="K56" s="224"/>
      <c r="L56" s="224"/>
      <c r="M56" s="49"/>
      <c r="N56" s="246" t="str">
        <f>IF(C56="","",'OPĆI DIO'!$C$1)</f>
        <v/>
      </c>
      <c r="O56" s="40" t="str">
        <f t="shared" si="5"/>
        <v/>
      </c>
      <c r="P56" s="40" t="str">
        <f t="shared" si="6"/>
        <v/>
      </c>
      <c r="Q56" s="40" t="str">
        <f t="shared" si="7"/>
        <v/>
      </c>
      <c r="R56" s="40" t="str">
        <f t="shared" si="8"/>
        <v/>
      </c>
      <c r="S56" s="40" t="str">
        <f t="shared" si="9"/>
        <v/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/>
      </c>
      <c r="B57" s="44" t="str">
        <f>IF(C57="","",VLOOKUP('OPĆI DIO'!$C$1,'OPĆI DIO'!$N$4:$W$137,9,FALSE))</f>
        <v/>
      </c>
      <c r="C57" s="50"/>
      <c r="D57" s="45" t="str">
        <f t="shared" si="1"/>
        <v/>
      </c>
      <c r="E57" s="50"/>
      <c r="F57" s="45" t="str">
        <f t="shared" si="2"/>
        <v/>
      </c>
      <c r="G57" s="328"/>
      <c r="H57" s="45" t="str">
        <f t="shared" si="3"/>
        <v/>
      </c>
      <c r="I57" s="45" t="str">
        <f t="shared" si="4"/>
        <v/>
      </c>
      <c r="J57" s="224"/>
      <c r="K57" s="224"/>
      <c r="L57" s="224"/>
      <c r="M57" s="49"/>
      <c r="N57" s="246" t="str">
        <f>IF(C57="","",'OPĆI DIO'!$C$1)</f>
        <v/>
      </c>
      <c r="O57" s="40" t="str">
        <f t="shared" si="5"/>
        <v/>
      </c>
      <c r="P57" s="40" t="str">
        <f t="shared" si="6"/>
        <v/>
      </c>
      <c r="Q57" s="40" t="str">
        <f t="shared" si="7"/>
        <v/>
      </c>
      <c r="R57" s="40" t="str">
        <f t="shared" si="8"/>
        <v/>
      </c>
      <c r="S57" s="40" t="str">
        <f t="shared" si="9"/>
        <v/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43</v>
      </c>
      <c r="D58" s="45" t="str">
        <f t="shared" si="1"/>
        <v>Ostali prihodi za posebne namjene</v>
      </c>
      <c r="E58" s="50">
        <v>3111</v>
      </c>
      <c r="F58" s="45" t="str">
        <f t="shared" si="2"/>
        <v>Plaće za redovan rad</v>
      </c>
      <c r="G58" s="327" t="s">
        <v>193</v>
      </c>
      <c r="H58" s="45" t="str">
        <f t="shared" si="3"/>
        <v>REDOVNA DJELATNOST SVEUČILIŠTA SJEVER (IZ EVIDENCIJSKIH PRIHODA)</v>
      </c>
      <c r="I58" s="45" t="str">
        <f t="shared" si="4"/>
        <v>0942</v>
      </c>
      <c r="J58" s="224">
        <v>958843</v>
      </c>
      <c r="K58" s="224">
        <v>700000</v>
      </c>
      <c r="L58" s="224">
        <v>700000</v>
      </c>
      <c r="M58" s="49"/>
      <c r="N58" s="246" t="str">
        <f>IF(C58="","",'OPĆI DIO'!$C$1)</f>
        <v>48267 SVEUČILIŠTE SJEVER</v>
      </c>
      <c r="O58" s="40" t="str">
        <f t="shared" si="5"/>
        <v>311</v>
      </c>
      <c r="P58" s="40" t="str">
        <f t="shared" si="6"/>
        <v>31</v>
      </c>
      <c r="Q58" s="40" t="str">
        <f t="shared" si="7"/>
        <v>43</v>
      </c>
      <c r="R58" s="40" t="str">
        <f t="shared" si="8"/>
        <v>94</v>
      </c>
      <c r="S58" s="40" t="str">
        <f t="shared" si="9"/>
        <v>3</v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43</v>
      </c>
      <c r="D59" s="45" t="str">
        <f t="shared" si="1"/>
        <v>Ostali prihodi za posebne namjene</v>
      </c>
      <c r="E59" s="50">
        <v>3112</v>
      </c>
      <c r="F59" s="45" t="str">
        <f t="shared" si="2"/>
        <v>Plaće u naravi</v>
      </c>
      <c r="G59" s="327" t="s">
        <v>193</v>
      </c>
      <c r="H59" s="45" t="str">
        <f t="shared" si="3"/>
        <v>REDOVNA DJELATNOST SVEUČILIŠTA SJEVER (IZ EVIDENCIJSKIH PRIHODA)</v>
      </c>
      <c r="I59" s="45" t="str">
        <f t="shared" si="4"/>
        <v>0942</v>
      </c>
      <c r="J59" s="224">
        <v>11000</v>
      </c>
      <c r="K59" s="224">
        <v>12000</v>
      </c>
      <c r="L59" s="224">
        <v>12000</v>
      </c>
      <c r="M59" s="49"/>
      <c r="N59" s="246" t="str">
        <f>IF(C59="","",'OPĆI DIO'!$C$1)</f>
        <v>48267 SVEUČILIŠTE SJEVER</v>
      </c>
      <c r="O59" s="40" t="str">
        <f t="shared" si="5"/>
        <v>311</v>
      </c>
      <c r="P59" s="40" t="str">
        <f t="shared" si="6"/>
        <v>31</v>
      </c>
      <c r="Q59" s="40" t="str">
        <f t="shared" si="7"/>
        <v>43</v>
      </c>
      <c r="R59" s="40" t="str">
        <f t="shared" si="8"/>
        <v>94</v>
      </c>
      <c r="S59" s="40" t="str">
        <f t="shared" si="9"/>
        <v>3</v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43</v>
      </c>
      <c r="D60" s="45" t="str">
        <f t="shared" si="1"/>
        <v>Ostali prihodi za posebne namjene</v>
      </c>
      <c r="E60" s="50">
        <v>3113</v>
      </c>
      <c r="F60" s="45" t="str">
        <f t="shared" si="2"/>
        <v>Plaće za prekovremeni rad</v>
      </c>
      <c r="G60" s="327" t="s">
        <v>193</v>
      </c>
      <c r="H60" s="45" t="str">
        <f t="shared" si="3"/>
        <v>REDOVNA DJELATNOST SVEUČILIŠTA SJEVER (IZ EVIDENCIJSKIH PRIHODA)</v>
      </c>
      <c r="I60" s="45" t="str">
        <f t="shared" si="4"/>
        <v>0942</v>
      </c>
      <c r="J60" s="224">
        <v>11000</v>
      </c>
      <c r="K60" s="224">
        <v>12000</v>
      </c>
      <c r="L60" s="224">
        <v>12000</v>
      </c>
      <c r="M60" s="49"/>
      <c r="N60" s="246" t="str">
        <f>IF(C60="","",'OPĆI DIO'!$C$1)</f>
        <v>48267 SVEUČILIŠTE SJEVER</v>
      </c>
      <c r="O60" s="40" t="str">
        <f t="shared" si="5"/>
        <v>311</v>
      </c>
      <c r="P60" s="40" t="str">
        <f t="shared" si="6"/>
        <v>31</v>
      </c>
      <c r="Q60" s="40" t="str">
        <f t="shared" si="7"/>
        <v>43</v>
      </c>
      <c r="R60" s="40" t="str">
        <f t="shared" si="8"/>
        <v>94</v>
      </c>
      <c r="S60" s="40" t="str">
        <f t="shared" si="9"/>
        <v>3</v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43</v>
      </c>
      <c r="D61" s="45" t="str">
        <f t="shared" si="1"/>
        <v>Ostali prihodi za posebne namjene</v>
      </c>
      <c r="E61" s="50">
        <v>3121</v>
      </c>
      <c r="F61" s="45" t="str">
        <f t="shared" si="2"/>
        <v>Ostali rashodi za zaposlene</v>
      </c>
      <c r="G61" s="327" t="s">
        <v>193</v>
      </c>
      <c r="H61" s="45" t="str">
        <f t="shared" si="3"/>
        <v>REDOVNA DJELATNOST SVEUČILIŠTA SJEVER (IZ EVIDENCIJSKIH PRIHODA)</v>
      </c>
      <c r="I61" s="45" t="str">
        <f t="shared" si="4"/>
        <v>0942</v>
      </c>
      <c r="J61" s="224">
        <v>657182</v>
      </c>
      <c r="K61" s="224">
        <v>657182</v>
      </c>
      <c r="L61" s="224">
        <v>657182</v>
      </c>
      <c r="M61" s="49"/>
      <c r="N61" s="246" t="str">
        <f>IF(C61="","",'OPĆI DIO'!$C$1)</f>
        <v>48267 SVEUČILIŠTE SJEVER</v>
      </c>
      <c r="O61" s="40" t="str">
        <f t="shared" si="5"/>
        <v>312</v>
      </c>
      <c r="P61" s="40" t="str">
        <f t="shared" si="6"/>
        <v>31</v>
      </c>
      <c r="Q61" s="40" t="str">
        <f t="shared" si="7"/>
        <v>43</v>
      </c>
      <c r="R61" s="40" t="str">
        <f t="shared" si="8"/>
        <v>94</v>
      </c>
      <c r="S61" s="40" t="str">
        <f t="shared" si="9"/>
        <v>3</v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43</v>
      </c>
      <c r="D62" s="45" t="str">
        <f t="shared" si="1"/>
        <v>Ostali prihodi za posebne namjene</v>
      </c>
      <c r="E62" s="50">
        <v>3132</v>
      </c>
      <c r="F62" s="45" t="str">
        <f t="shared" si="2"/>
        <v>Doprinosi za obvezno zdravstveno osiguranje</v>
      </c>
      <c r="G62" s="327" t="s">
        <v>193</v>
      </c>
      <c r="H62" s="45" t="str">
        <f t="shared" si="3"/>
        <v>REDOVNA DJELATNOST SVEUČILIŠTA SJEVER (IZ EVIDENCIJSKIH PRIHODA)</v>
      </c>
      <c r="I62" s="45" t="str">
        <f t="shared" si="4"/>
        <v>0942</v>
      </c>
      <c r="J62" s="224">
        <v>218943</v>
      </c>
      <c r="K62" s="224">
        <v>115050</v>
      </c>
      <c r="L62" s="224">
        <v>115050</v>
      </c>
      <c r="M62" s="49"/>
      <c r="N62" s="246" t="str">
        <f>IF(C62="","",'OPĆI DIO'!$C$1)</f>
        <v>48267 SVEUČILIŠTE SJEVER</v>
      </c>
      <c r="O62" s="40" t="str">
        <f t="shared" si="5"/>
        <v>313</v>
      </c>
      <c r="P62" s="40" t="str">
        <f t="shared" si="6"/>
        <v>31</v>
      </c>
      <c r="Q62" s="40" t="str">
        <f t="shared" si="7"/>
        <v>43</v>
      </c>
      <c r="R62" s="40" t="str">
        <f t="shared" si="8"/>
        <v>94</v>
      </c>
      <c r="S62" s="40" t="str">
        <f t="shared" si="9"/>
        <v>3</v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43</v>
      </c>
      <c r="D63" s="45" t="str">
        <f t="shared" si="1"/>
        <v>Ostali prihodi za posebne namjene</v>
      </c>
      <c r="E63" s="50">
        <v>3211</v>
      </c>
      <c r="F63" s="45" t="str">
        <f t="shared" si="2"/>
        <v>Službena putovanja</v>
      </c>
      <c r="G63" s="327" t="s">
        <v>193</v>
      </c>
      <c r="H63" s="45" t="str">
        <f t="shared" si="3"/>
        <v>REDOVNA DJELATNOST SVEUČILIŠTA SJEVER (IZ EVIDENCIJSKIH PRIHODA)</v>
      </c>
      <c r="I63" s="45" t="str">
        <f t="shared" si="4"/>
        <v>0942</v>
      </c>
      <c r="J63" s="224">
        <v>94636</v>
      </c>
      <c r="K63" s="224">
        <v>100000</v>
      </c>
      <c r="L63" s="224">
        <v>120000</v>
      </c>
      <c r="M63" s="49"/>
      <c r="N63" s="246" t="str">
        <f>IF(C63="","",'OPĆI DIO'!$C$1)</f>
        <v>48267 SVEUČILIŠTE SJEVER</v>
      </c>
      <c r="O63" s="40" t="str">
        <f t="shared" si="5"/>
        <v>321</v>
      </c>
      <c r="P63" s="40" t="str">
        <f t="shared" si="6"/>
        <v>32</v>
      </c>
      <c r="Q63" s="40" t="str">
        <f t="shared" si="7"/>
        <v>43</v>
      </c>
      <c r="R63" s="40" t="str">
        <f t="shared" si="8"/>
        <v>94</v>
      </c>
      <c r="S63" s="40" t="str">
        <f t="shared" si="9"/>
        <v>3</v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43</v>
      </c>
      <c r="D64" s="45" t="str">
        <f t="shared" si="1"/>
        <v>Ostali prihodi za posebne namjene</v>
      </c>
      <c r="E64" s="50">
        <v>3212</v>
      </c>
      <c r="F64" s="45" t="str">
        <f t="shared" si="2"/>
        <v>Naknade za prijevoz, za rad na terenu i odvojeni život</v>
      </c>
      <c r="G64" s="327" t="s">
        <v>193</v>
      </c>
      <c r="H64" s="45" t="str">
        <f t="shared" si="3"/>
        <v>REDOVNA DJELATNOST SVEUČILIŠTA SJEVER (IZ EVIDENCIJSKIH PRIHODA)</v>
      </c>
      <c r="I64" s="45" t="str">
        <f t="shared" si="4"/>
        <v>0942</v>
      </c>
      <c r="J64" s="224">
        <v>65000</v>
      </c>
      <c r="K64" s="224">
        <v>65000</v>
      </c>
      <c r="L64" s="224">
        <v>65000</v>
      </c>
      <c r="M64" s="49"/>
      <c r="N64" s="246" t="str">
        <f>IF(C64="","",'OPĆI DIO'!$C$1)</f>
        <v>48267 SVEUČILIŠTE SJEVER</v>
      </c>
      <c r="O64" s="40" t="str">
        <f t="shared" si="5"/>
        <v>321</v>
      </c>
      <c r="P64" s="40" t="str">
        <f t="shared" si="6"/>
        <v>32</v>
      </c>
      <c r="Q64" s="40" t="str">
        <f t="shared" si="7"/>
        <v>43</v>
      </c>
      <c r="R64" s="40" t="str">
        <f t="shared" si="8"/>
        <v>94</v>
      </c>
      <c r="S64" s="40" t="str">
        <f t="shared" si="9"/>
        <v>3</v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43</v>
      </c>
      <c r="D65" s="45" t="str">
        <f t="shared" si="1"/>
        <v>Ostali prihodi za posebne namjene</v>
      </c>
      <c r="E65" s="50">
        <v>3213</v>
      </c>
      <c r="F65" s="45" t="str">
        <f t="shared" si="2"/>
        <v>Stručno usavršavanje zaposlenika</v>
      </c>
      <c r="G65" s="327" t="s">
        <v>193</v>
      </c>
      <c r="H65" s="45" t="str">
        <f t="shared" si="3"/>
        <v>REDOVNA DJELATNOST SVEUČILIŠTA SJEVER (IZ EVIDENCIJSKIH PRIHODA)</v>
      </c>
      <c r="I65" s="45" t="str">
        <f t="shared" si="4"/>
        <v>0942</v>
      </c>
      <c r="J65" s="224">
        <v>6000</v>
      </c>
      <c r="K65" s="224">
        <v>7000</v>
      </c>
      <c r="L65" s="224">
        <v>8000</v>
      </c>
      <c r="M65" s="49"/>
      <c r="N65" s="246" t="str">
        <f>IF(C65="","",'OPĆI DIO'!$C$1)</f>
        <v>48267 SVEUČILIŠTE SJEVER</v>
      </c>
      <c r="O65" s="40" t="str">
        <f t="shared" si="5"/>
        <v>321</v>
      </c>
      <c r="P65" s="40" t="str">
        <f t="shared" si="6"/>
        <v>32</v>
      </c>
      <c r="Q65" s="40" t="str">
        <f t="shared" si="7"/>
        <v>43</v>
      </c>
      <c r="R65" s="40" t="str">
        <f t="shared" si="8"/>
        <v>94</v>
      </c>
      <c r="S65" s="40" t="str">
        <f t="shared" si="9"/>
        <v>3</v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43</v>
      </c>
      <c r="D66" s="45" t="str">
        <f t="shared" si="1"/>
        <v>Ostali prihodi za posebne namjene</v>
      </c>
      <c r="E66" s="50">
        <v>3214</v>
      </c>
      <c r="F66" s="45" t="str">
        <f t="shared" si="2"/>
        <v>Ostale naknade troškova zaposlenima</v>
      </c>
      <c r="G66" s="327" t="s">
        <v>193</v>
      </c>
      <c r="H66" s="45" t="str">
        <f t="shared" si="3"/>
        <v>REDOVNA DJELATNOST SVEUČILIŠTA SJEVER (IZ EVIDENCIJSKIH PRIHODA)</v>
      </c>
      <c r="I66" s="45" t="str">
        <f t="shared" si="4"/>
        <v>0942</v>
      </c>
      <c r="J66" s="224">
        <v>250</v>
      </c>
      <c r="K66" s="224">
        <v>250</v>
      </c>
      <c r="L66" s="224">
        <v>250</v>
      </c>
      <c r="M66" s="49"/>
      <c r="N66" s="246" t="str">
        <f>IF(C66="","",'OPĆI DIO'!$C$1)</f>
        <v>48267 SVEUČILIŠTE SJEVER</v>
      </c>
      <c r="O66" s="40" t="str">
        <f t="shared" si="5"/>
        <v>321</v>
      </c>
      <c r="P66" s="40" t="str">
        <f t="shared" si="6"/>
        <v>32</v>
      </c>
      <c r="Q66" s="40" t="str">
        <f t="shared" si="7"/>
        <v>43</v>
      </c>
      <c r="R66" s="40" t="str">
        <f t="shared" si="8"/>
        <v>94</v>
      </c>
      <c r="S66" s="40" t="str">
        <f t="shared" si="9"/>
        <v>3</v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43</v>
      </c>
      <c r="D67" s="45" t="str">
        <f t="shared" ref="D67:D130" si="14">IFERROR(VLOOKUP(C67,$T$6:$U$24,2,FALSE),"")</f>
        <v>Ostali prihodi za posebne namjene</v>
      </c>
      <c r="E67" s="50">
        <v>3221</v>
      </c>
      <c r="F67" s="45" t="str">
        <f t="shared" si="2"/>
        <v>Uredski materijal i ostali materijalni rashodi</v>
      </c>
      <c r="G67" s="327" t="s">
        <v>193</v>
      </c>
      <c r="H67" s="45" t="str">
        <f t="shared" si="3"/>
        <v>REDOVNA DJELATNOST SVEUČILIŠTA SJEVER (IZ EVIDENCIJSKIH PRIHODA)</v>
      </c>
      <c r="I67" s="45" t="str">
        <f t="shared" si="4"/>
        <v>0942</v>
      </c>
      <c r="J67" s="224">
        <v>30000</v>
      </c>
      <c r="K67" s="224">
        <v>0</v>
      </c>
      <c r="L67" s="224">
        <v>0</v>
      </c>
      <c r="M67" s="49"/>
      <c r="N67" s="246" t="str">
        <f>IF(C67="","",'OPĆI DIO'!$C$1)</f>
        <v>48267 SVEUČILIŠTE SJEVER</v>
      </c>
      <c r="O67" s="40" t="str">
        <f t="shared" si="5"/>
        <v>322</v>
      </c>
      <c r="P67" s="40" t="str">
        <f t="shared" si="6"/>
        <v>32</v>
      </c>
      <c r="Q67" s="40" t="str">
        <f t="shared" si="7"/>
        <v>43</v>
      </c>
      <c r="R67" s="40" t="str">
        <f t="shared" si="8"/>
        <v>94</v>
      </c>
      <c r="S67" s="40" t="str">
        <f t="shared" si="9"/>
        <v>3</v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43</v>
      </c>
      <c r="D68" s="45" t="str">
        <f t="shared" si="14"/>
        <v>Ostali prihodi za posebne namjene</v>
      </c>
      <c r="E68" s="50">
        <v>3223</v>
      </c>
      <c r="F68" s="45" t="str">
        <f t="shared" ref="F68:F131" si="15">IFERROR(VLOOKUP(E68,$W$5:$Y$129,2,FALSE),"")</f>
        <v>Energija</v>
      </c>
      <c r="G68" s="327" t="s">
        <v>193</v>
      </c>
      <c r="H68" s="45" t="str">
        <f t="shared" ref="H68:H131" si="16">IFERROR(VLOOKUP(G68,$AC$6:$AD$344,2,FALSE),"")</f>
        <v>REDOVNA DJELATNOST SVEUČILIŠTA SJEVER (IZ EVIDENCIJSKIH PRIHODA)</v>
      </c>
      <c r="I68" s="45" t="str">
        <f t="shared" ref="I68:I131" si="17">IFERROR(VLOOKUP(G68,$AC$6:$AG$344,3,FALSE),"")</f>
        <v>0942</v>
      </c>
      <c r="J68" s="224">
        <v>140000</v>
      </c>
      <c r="K68" s="224">
        <v>140000</v>
      </c>
      <c r="L68" s="224">
        <v>140000</v>
      </c>
      <c r="M68" s="49"/>
      <c r="N68" s="246" t="str">
        <f>IF(C68="","",'OPĆI DIO'!$C$1)</f>
        <v>48267 SVEUČILIŠTE SJEVER</v>
      </c>
      <c r="O68" s="40" t="str">
        <f t="shared" ref="O68:O131" si="18">LEFT(E68,3)</f>
        <v>322</v>
      </c>
      <c r="P68" s="40" t="str">
        <f t="shared" ref="P68:P131" si="19">LEFT(E68,2)</f>
        <v>32</v>
      </c>
      <c r="Q68" s="40" t="str">
        <f t="shared" ref="Q68:Q131" si="20">LEFT(C68,3)</f>
        <v>43</v>
      </c>
      <c r="R68" s="40" t="str">
        <f t="shared" ref="R68:R131" si="21">MID(I68,2,2)</f>
        <v>94</v>
      </c>
      <c r="S68" s="40" t="str">
        <f t="shared" ref="S68:S131" si="22">LEFT(E68,1)</f>
        <v>3</v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43</v>
      </c>
      <c r="D69" s="45" t="str">
        <f t="shared" si="14"/>
        <v>Ostali prihodi za posebne namjene</v>
      </c>
      <c r="E69" s="50">
        <v>3224</v>
      </c>
      <c r="F69" s="45" t="str">
        <f t="shared" si="15"/>
        <v>Materijal i dijelovi za tekuće i investicijsko održavanje</v>
      </c>
      <c r="G69" s="327" t="s">
        <v>193</v>
      </c>
      <c r="H69" s="45" t="str">
        <f t="shared" si="16"/>
        <v>REDOVNA DJELATNOST SVEUČILIŠTA SJEVER (IZ EVIDENCIJSKIH PRIHODA)</v>
      </c>
      <c r="I69" s="45" t="str">
        <f t="shared" si="17"/>
        <v>0942</v>
      </c>
      <c r="J69" s="224">
        <v>14000</v>
      </c>
      <c r="K69" s="224">
        <v>16000</v>
      </c>
      <c r="L69" s="224">
        <v>18000</v>
      </c>
      <c r="M69" s="49"/>
      <c r="N69" s="246" t="str">
        <f>IF(C69="","",'OPĆI DIO'!$C$1)</f>
        <v>48267 SVEUČILIŠTE SJEVER</v>
      </c>
      <c r="O69" s="40" t="str">
        <f t="shared" si="18"/>
        <v>322</v>
      </c>
      <c r="P69" s="40" t="str">
        <f t="shared" si="19"/>
        <v>32</v>
      </c>
      <c r="Q69" s="40" t="str">
        <f t="shared" si="20"/>
        <v>43</v>
      </c>
      <c r="R69" s="40" t="str">
        <f t="shared" si="21"/>
        <v>94</v>
      </c>
      <c r="S69" s="40" t="str">
        <f t="shared" si="22"/>
        <v>3</v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43</v>
      </c>
      <c r="D70" s="45" t="str">
        <f t="shared" si="14"/>
        <v>Ostali prihodi za posebne namjene</v>
      </c>
      <c r="E70" s="50">
        <v>3225</v>
      </c>
      <c r="F70" s="45" t="str">
        <f t="shared" si="15"/>
        <v>Sitni inventar i auto gume</v>
      </c>
      <c r="G70" s="327" t="s">
        <v>193</v>
      </c>
      <c r="H70" s="45" t="str">
        <f t="shared" si="16"/>
        <v>REDOVNA DJELATNOST SVEUČILIŠTA SJEVER (IZ EVIDENCIJSKIH PRIHODA)</v>
      </c>
      <c r="I70" s="45" t="str">
        <f t="shared" si="17"/>
        <v>0942</v>
      </c>
      <c r="J70" s="224">
        <v>16000</v>
      </c>
      <c r="K70" s="224">
        <v>20000</v>
      </c>
      <c r="L70" s="224">
        <v>20000</v>
      </c>
      <c r="M70" s="49"/>
      <c r="N70" s="246" t="str">
        <f>IF(C70="","",'OPĆI DIO'!$C$1)</f>
        <v>48267 SVEUČILIŠTE SJEVER</v>
      </c>
      <c r="O70" s="40" t="str">
        <f t="shared" si="18"/>
        <v>322</v>
      </c>
      <c r="P70" s="40" t="str">
        <f t="shared" si="19"/>
        <v>32</v>
      </c>
      <c r="Q70" s="40" t="str">
        <f t="shared" si="20"/>
        <v>43</v>
      </c>
      <c r="R70" s="40" t="str">
        <f t="shared" si="21"/>
        <v>94</v>
      </c>
      <c r="S70" s="40" t="str">
        <f t="shared" si="22"/>
        <v>3</v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43</v>
      </c>
      <c r="D71" s="45" t="str">
        <f t="shared" si="14"/>
        <v>Ostali prihodi za posebne namjene</v>
      </c>
      <c r="E71" s="50">
        <v>3227</v>
      </c>
      <c r="F71" s="45" t="str">
        <f t="shared" si="15"/>
        <v>Službena, radna i zaštitna odjeća i obuća</v>
      </c>
      <c r="G71" s="327" t="s">
        <v>193</v>
      </c>
      <c r="H71" s="45" t="str">
        <f t="shared" si="16"/>
        <v>REDOVNA DJELATNOST SVEUČILIŠTA SJEVER (IZ EVIDENCIJSKIH PRIHODA)</v>
      </c>
      <c r="I71" s="45" t="str">
        <f t="shared" si="17"/>
        <v>0942</v>
      </c>
      <c r="J71" s="224">
        <v>3000</v>
      </c>
      <c r="K71" s="224">
        <v>3000</v>
      </c>
      <c r="L71" s="224">
        <v>4000</v>
      </c>
      <c r="M71" s="49"/>
      <c r="N71" s="246" t="str">
        <f>IF(C71="","",'OPĆI DIO'!$C$1)</f>
        <v>48267 SVEUČILIŠTE SJEVER</v>
      </c>
      <c r="O71" s="40" t="str">
        <f t="shared" si="18"/>
        <v>322</v>
      </c>
      <c r="P71" s="40" t="str">
        <f t="shared" si="19"/>
        <v>32</v>
      </c>
      <c r="Q71" s="40" t="str">
        <f t="shared" si="20"/>
        <v>43</v>
      </c>
      <c r="R71" s="40" t="str">
        <f t="shared" si="21"/>
        <v>94</v>
      </c>
      <c r="S71" s="40" t="str">
        <f t="shared" si="22"/>
        <v>3</v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43</v>
      </c>
      <c r="D72" s="45" t="str">
        <f t="shared" si="14"/>
        <v>Ostali prihodi za posebne namjene</v>
      </c>
      <c r="E72" s="50">
        <v>3231</v>
      </c>
      <c r="F72" s="45" t="str">
        <f t="shared" si="15"/>
        <v>Usluge telefona, pošte i prijevoza</v>
      </c>
      <c r="G72" s="327" t="s">
        <v>193</v>
      </c>
      <c r="H72" s="45" t="str">
        <f t="shared" si="16"/>
        <v>REDOVNA DJELATNOST SVEUČILIŠTA SJEVER (IZ EVIDENCIJSKIH PRIHODA)</v>
      </c>
      <c r="I72" s="45" t="str">
        <f t="shared" si="17"/>
        <v>0942</v>
      </c>
      <c r="J72" s="224">
        <v>30390</v>
      </c>
      <c r="K72" s="224">
        <v>32000</v>
      </c>
      <c r="L72" s="224">
        <v>33000</v>
      </c>
      <c r="M72" s="49"/>
      <c r="N72" s="246" t="str">
        <f>IF(C72="","",'OPĆI DIO'!$C$1)</f>
        <v>48267 SVEUČILIŠTE SJEVER</v>
      </c>
      <c r="O72" s="40" t="str">
        <f t="shared" si="18"/>
        <v>323</v>
      </c>
      <c r="P72" s="40" t="str">
        <f t="shared" si="19"/>
        <v>32</v>
      </c>
      <c r="Q72" s="40" t="str">
        <f t="shared" si="20"/>
        <v>43</v>
      </c>
      <c r="R72" s="40" t="str">
        <f t="shared" si="21"/>
        <v>94</v>
      </c>
      <c r="S72" s="40" t="str">
        <f t="shared" si="22"/>
        <v>3</v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43</v>
      </c>
      <c r="D73" s="45" t="str">
        <f t="shared" si="14"/>
        <v>Ostali prihodi za posebne namjene</v>
      </c>
      <c r="E73" s="50">
        <v>3232</v>
      </c>
      <c r="F73" s="45" t="str">
        <f t="shared" si="15"/>
        <v>Usluge tekućeg i investicijskog održavanja</v>
      </c>
      <c r="G73" s="327" t="s">
        <v>193</v>
      </c>
      <c r="H73" s="45" t="str">
        <f t="shared" si="16"/>
        <v>REDOVNA DJELATNOST SVEUČILIŠTA SJEVER (IZ EVIDENCIJSKIH PRIHODA)</v>
      </c>
      <c r="I73" s="45" t="str">
        <f t="shared" si="17"/>
        <v>0942</v>
      </c>
      <c r="J73" s="224">
        <v>116000</v>
      </c>
      <c r="K73" s="224">
        <v>80000</v>
      </c>
      <c r="L73" s="224">
        <v>80000</v>
      </c>
      <c r="M73" s="49"/>
      <c r="N73" s="246" t="str">
        <f>IF(C73="","",'OPĆI DIO'!$C$1)</f>
        <v>48267 SVEUČILIŠTE SJEVER</v>
      </c>
      <c r="O73" s="40" t="str">
        <f t="shared" si="18"/>
        <v>323</v>
      </c>
      <c r="P73" s="40" t="str">
        <f t="shared" si="19"/>
        <v>32</v>
      </c>
      <c r="Q73" s="40" t="str">
        <f t="shared" si="20"/>
        <v>43</v>
      </c>
      <c r="R73" s="40" t="str">
        <f t="shared" si="21"/>
        <v>94</v>
      </c>
      <c r="S73" s="40" t="str">
        <f t="shared" si="22"/>
        <v>3</v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50">
        <v>43</v>
      </c>
      <c r="D74" s="45" t="str">
        <f t="shared" si="14"/>
        <v>Ostali prihodi za posebne namjene</v>
      </c>
      <c r="E74" s="50">
        <v>3234</v>
      </c>
      <c r="F74" s="45" t="str">
        <f t="shared" si="15"/>
        <v>Komunalne usluge</v>
      </c>
      <c r="G74" s="327" t="s">
        <v>193</v>
      </c>
      <c r="H74" s="45" t="str">
        <f t="shared" si="16"/>
        <v>REDOVNA DJELATNOST SVEUČILIŠTA SJEVER (IZ EVIDENCIJSKIH PRIHODA)</v>
      </c>
      <c r="I74" s="45" t="str">
        <f t="shared" si="17"/>
        <v>0942</v>
      </c>
      <c r="J74" s="224">
        <v>23200</v>
      </c>
      <c r="K74" s="224">
        <v>25000</v>
      </c>
      <c r="L74" s="224">
        <v>25000</v>
      </c>
      <c r="M74" s="49"/>
      <c r="N74" s="246" t="str">
        <f>IF(C74="","",'OPĆI DIO'!$C$1)</f>
        <v>48267 SVEUČILIŠTE SJEVER</v>
      </c>
      <c r="O74" s="40" t="str">
        <f t="shared" si="18"/>
        <v>323</v>
      </c>
      <c r="P74" s="40" t="str">
        <f t="shared" si="19"/>
        <v>32</v>
      </c>
      <c r="Q74" s="40" t="str">
        <f t="shared" si="20"/>
        <v>43</v>
      </c>
      <c r="R74" s="40" t="str">
        <f t="shared" si="21"/>
        <v>94</v>
      </c>
      <c r="S74" s="40" t="str">
        <f t="shared" si="22"/>
        <v>3</v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50">
        <v>43</v>
      </c>
      <c r="D75" s="45" t="str">
        <f t="shared" si="14"/>
        <v>Ostali prihodi za posebne namjene</v>
      </c>
      <c r="E75" s="50">
        <v>3235</v>
      </c>
      <c r="F75" s="45" t="str">
        <f t="shared" si="15"/>
        <v>Zakupnine i najamnine</v>
      </c>
      <c r="G75" s="327" t="s">
        <v>193</v>
      </c>
      <c r="H75" s="45" t="str">
        <f t="shared" si="16"/>
        <v>REDOVNA DJELATNOST SVEUČILIŠTA SJEVER (IZ EVIDENCIJSKIH PRIHODA)</v>
      </c>
      <c r="I75" s="45" t="str">
        <f t="shared" si="17"/>
        <v>0942</v>
      </c>
      <c r="J75" s="224">
        <v>37852</v>
      </c>
      <c r="K75" s="224">
        <v>40000</v>
      </c>
      <c r="L75" s="224">
        <v>42000</v>
      </c>
      <c r="M75" s="49"/>
      <c r="N75" s="246" t="str">
        <f>IF(C75="","",'OPĆI DIO'!$C$1)</f>
        <v>48267 SVEUČILIŠTE SJEVER</v>
      </c>
      <c r="O75" s="40" t="str">
        <f t="shared" si="18"/>
        <v>323</v>
      </c>
      <c r="P75" s="40" t="str">
        <f t="shared" si="19"/>
        <v>32</v>
      </c>
      <c r="Q75" s="40" t="str">
        <f t="shared" si="20"/>
        <v>43</v>
      </c>
      <c r="R75" s="40" t="str">
        <f t="shared" si="21"/>
        <v>94</v>
      </c>
      <c r="S75" s="40" t="str">
        <f t="shared" si="22"/>
        <v>3</v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43</v>
      </c>
      <c r="D76" s="45" t="str">
        <f t="shared" si="14"/>
        <v>Ostali prihodi za posebne namjene</v>
      </c>
      <c r="E76" s="50">
        <v>3236</v>
      </c>
      <c r="F76" s="45" t="str">
        <f t="shared" si="15"/>
        <v>Zdravstvene i veterinarske usluge</v>
      </c>
      <c r="G76" s="327" t="s">
        <v>193</v>
      </c>
      <c r="H76" s="45" t="str">
        <f t="shared" si="16"/>
        <v>REDOVNA DJELATNOST SVEUČILIŠTA SJEVER (IZ EVIDENCIJSKIH PRIHODA)</v>
      </c>
      <c r="I76" s="45" t="str">
        <f t="shared" si="17"/>
        <v>0942</v>
      </c>
      <c r="J76" s="224">
        <v>10500</v>
      </c>
      <c r="K76" s="224">
        <v>10500</v>
      </c>
      <c r="L76" s="224">
        <v>10500</v>
      </c>
      <c r="M76" s="49"/>
      <c r="N76" s="246" t="str">
        <f>IF(C76="","",'OPĆI DIO'!$C$1)</f>
        <v>48267 SVEUČILIŠTE SJEVER</v>
      </c>
      <c r="O76" s="40" t="str">
        <f t="shared" si="18"/>
        <v>323</v>
      </c>
      <c r="P76" s="40" t="str">
        <f t="shared" si="19"/>
        <v>32</v>
      </c>
      <c r="Q76" s="40" t="str">
        <f t="shared" si="20"/>
        <v>43</v>
      </c>
      <c r="R76" s="40" t="str">
        <f t="shared" si="21"/>
        <v>94</v>
      </c>
      <c r="S76" s="40" t="str">
        <f t="shared" si="22"/>
        <v>3</v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43</v>
      </c>
      <c r="D77" s="45" t="str">
        <f t="shared" si="14"/>
        <v>Ostali prihodi za posebne namjene</v>
      </c>
      <c r="E77" s="50">
        <v>3237</v>
      </c>
      <c r="F77" s="45" t="str">
        <f t="shared" si="15"/>
        <v>Intelektualne i osobne usluge</v>
      </c>
      <c r="G77" s="327" t="s">
        <v>193</v>
      </c>
      <c r="H77" s="45" t="str">
        <f t="shared" si="16"/>
        <v>REDOVNA DJELATNOST SVEUČILIŠTA SJEVER (IZ EVIDENCIJSKIH PRIHODA)</v>
      </c>
      <c r="I77" s="45" t="str">
        <f t="shared" si="17"/>
        <v>0942</v>
      </c>
      <c r="J77" s="224">
        <v>350000</v>
      </c>
      <c r="K77" s="224">
        <f>30000+155008</f>
        <v>185008</v>
      </c>
      <c r="L77" s="224">
        <f>30000+11078</f>
        <v>41078</v>
      </c>
      <c r="M77" s="49"/>
      <c r="N77" s="246" t="str">
        <f>IF(C77="","",'OPĆI DIO'!$C$1)</f>
        <v>48267 SVEUČILIŠTE SJEVER</v>
      </c>
      <c r="O77" s="40" t="str">
        <f t="shared" si="18"/>
        <v>323</v>
      </c>
      <c r="P77" s="40" t="str">
        <f t="shared" si="19"/>
        <v>32</v>
      </c>
      <c r="Q77" s="40" t="str">
        <f t="shared" si="20"/>
        <v>43</v>
      </c>
      <c r="R77" s="40" t="str">
        <f t="shared" si="21"/>
        <v>94</v>
      </c>
      <c r="S77" s="40" t="str">
        <f t="shared" si="22"/>
        <v>3</v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43</v>
      </c>
      <c r="D78" s="45" t="str">
        <f t="shared" si="14"/>
        <v>Ostali prihodi za posebne namjene</v>
      </c>
      <c r="E78" s="50">
        <v>3238</v>
      </c>
      <c r="F78" s="45" t="str">
        <f t="shared" si="15"/>
        <v>Računalne usluge</v>
      </c>
      <c r="G78" s="327" t="s">
        <v>193</v>
      </c>
      <c r="H78" s="45" t="str">
        <f t="shared" si="16"/>
        <v>REDOVNA DJELATNOST SVEUČILIŠTA SJEVER (IZ EVIDENCIJSKIH PRIHODA)</v>
      </c>
      <c r="I78" s="45" t="str">
        <f t="shared" si="17"/>
        <v>0942</v>
      </c>
      <c r="J78" s="224">
        <v>19908</v>
      </c>
      <c r="K78" s="224">
        <v>20000</v>
      </c>
      <c r="L78" s="224">
        <v>20000</v>
      </c>
      <c r="M78" s="49"/>
      <c r="N78" s="246" t="str">
        <f>IF(C78="","",'OPĆI DIO'!$C$1)</f>
        <v>48267 SVEUČILIŠTE SJEVER</v>
      </c>
      <c r="O78" s="40" t="str">
        <f t="shared" si="18"/>
        <v>323</v>
      </c>
      <c r="P78" s="40" t="str">
        <f t="shared" si="19"/>
        <v>32</v>
      </c>
      <c r="Q78" s="40" t="str">
        <f t="shared" si="20"/>
        <v>43</v>
      </c>
      <c r="R78" s="40" t="str">
        <f t="shared" si="21"/>
        <v>94</v>
      </c>
      <c r="S78" s="40" t="str">
        <f t="shared" si="22"/>
        <v>3</v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43</v>
      </c>
      <c r="D79" s="45" t="str">
        <f t="shared" si="14"/>
        <v>Ostali prihodi za posebne namjene</v>
      </c>
      <c r="E79" s="50">
        <v>3239</v>
      </c>
      <c r="F79" s="45" t="str">
        <f t="shared" si="15"/>
        <v>Ostale usluge</v>
      </c>
      <c r="G79" s="327" t="s">
        <v>193</v>
      </c>
      <c r="H79" s="45" t="str">
        <f t="shared" si="16"/>
        <v>REDOVNA DJELATNOST SVEUČILIŠTA SJEVER (IZ EVIDENCIJSKIH PRIHODA)</v>
      </c>
      <c r="I79" s="45" t="str">
        <f t="shared" si="17"/>
        <v>0942</v>
      </c>
      <c r="J79" s="224">
        <v>71454</v>
      </c>
      <c r="K79" s="224">
        <v>60000</v>
      </c>
      <c r="L79" s="224">
        <v>60000</v>
      </c>
      <c r="M79" s="49"/>
      <c r="N79" s="246" t="str">
        <f>IF(C79="","",'OPĆI DIO'!$C$1)</f>
        <v>48267 SVEUČILIŠTE SJEVER</v>
      </c>
      <c r="O79" s="40" t="str">
        <f t="shared" si="18"/>
        <v>323</v>
      </c>
      <c r="P79" s="40" t="str">
        <f t="shared" si="19"/>
        <v>32</v>
      </c>
      <c r="Q79" s="40" t="str">
        <f t="shared" si="20"/>
        <v>43</v>
      </c>
      <c r="R79" s="40" t="str">
        <f t="shared" si="21"/>
        <v>94</v>
      </c>
      <c r="S79" s="40" t="str">
        <f t="shared" si="22"/>
        <v>3</v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43</v>
      </c>
      <c r="D80" s="45" t="str">
        <f t="shared" si="14"/>
        <v>Ostali prihodi za posebne namjene</v>
      </c>
      <c r="E80" s="50">
        <v>3241</v>
      </c>
      <c r="F80" s="45" t="str">
        <f t="shared" si="15"/>
        <v>Naknade troškova osobama izvan radnog odnosa</v>
      </c>
      <c r="G80" s="327" t="s">
        <v>193</v>
      </c>
      <c r="H80" s="45" t="str">
        <f t="shared" si="16"/>
        <v>REDOVNA DJELATNOST SVEUČILIŠTA SJEVER (IZ EVIDENCIJSKIH PRIHODA)</v>
      </c>
      <c r="I80" s="45" t="str">
        <f t="shared" si="17"/>
        <v>0942</v>
      </c>
      <c r="J80" s="224">
        <v>35000</v>
      </c>
      <c r="K80" s="224">
        <v>40000</v>
      </c>
      <c r="L80" s="224">
        <v>45000</v>
      </c>
      <c r="M80" s="49"/>
      <c r="N80" s="246" t="str">
        <f>IF(C80="","",'OPĆI DIO'!$C$1)</f>
        <v>48267 SVEUČILIŠTE SJEVER</v>
      </c>
      <c r="O80" s="40" t="str">
        <f t="shared" si="18"/>
        <v>324</v>
      </c>
      <c r="P80" s="40" t="str">
        <f t="shared" si="19"/>
        <v>32</v>
      </c>
      <c r="Q80" s="40" t="str">
        <f t="shared" si="20"/>
        <v>43</v>
      </c>
      <c r="R80" s="40" t="str">
        <f t="shared" si="21"/>
        <v>94</v>
      </c>
      <c r="S80" s="40" t="str">
        <f t="shared" si="22"/>
        <v>3</v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50">
        <v>43</v>
      </c>
      <c r="D81" s="45" t="str">
        <f t="shared" si="14"/>
        <v>Ostali prihodi za posebne namjene</v>
      </c>
      <c r="E81" s="50">
        <v>3292</v>
      </c>
      <c r="F81" s="45" t="str">
        <f t="shared" si="15"/>
        <v>Premije osiguranja</v>
      </c>
      <c r="G81" s="327" t="s">
        <v>193</v>
      </c>
      <c r="H81" s="45" t="str">
        <f t="shared" si="16"/>
        <v>REDOVNA DJELATNOST SVEUČILIŠTA SJEVER (IZ EVIDENCIJSKIH PRIHODA)</v>
      </c>
      <c r="I81" s="45" t="str">
        <f t="shared" si="17"/>
        <v>0942</v>
      </c>
      <c r="J81" s="224">
        <v>35000</v>
      </c>
      <c r="K81" s="224">
        <v>35000</v>
      </c>
      <c r="L81" s="224">
        <v>35000</v>
      </c>
      <c r="M81" s="49"/>
      <c r="N81" s="246" t="str">
        <f>IF(C81="","",'OPĆI DIO'!$C$1)</f>
        <v>48267 SVEUČILIŠTE SJEVER</v>
      </c>
      <c r="O81" s="40" t="str">
        <f t="shared" si="18"/>
        <v>329</v>
      </c>
      <c r="P81" s="40" t="str">
        <f t="shared" si="19"/>
        <v>32</v>
      </c>
      <c r="Q81" s="40" t="str">
        <f t="shared" si="20"/>
        <v>43</v>
      </c>
      <c r="R81" s="40" t="str">
        <f t="shared" si="21"/>
        <v>94</v>
      </c>
      <c r="S81" s="40" t="str">
        <f t="shared" si="22"/>
        <v>3</v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50">
        <v>43</v>
      </c>
      <c r="D82" s="45" t="str">
        <f t="shared" si="14"/>
        <v>Ostali prihodi za posebne namjene</v>
      </c>
      <c r="E82" s="50">
        <v>3293</v>
      </c>
      <c r="F82" s="45" t="str">
        <f t="shared" si="15"/>
        <v>Reprezentacija</v>
      </c>
      <c r="G82" s="327" t="s">
        <v>193</v>
      </c>
      <c r="H82" s="45" t="str">
        <f t="shared" si="16"/>
        <v>REDOVNA DJELATNOST SVEUČILIŠTA SJEVER (IZ EVIDENCIJSKIH PRIHODA)</v>
      </c>
      <c r="I82" s="45" t="str">
        <f t="shared" si="17"/>
        <v>0942</v>
      </c>
      <c r="J82" s="224">
        <v>96000</v>
      </c>
      <c r="K82" s="224">
        <v>96000</v>
      </c>
      <c r="L82" s="224">
        <v>96000</v>
      </c>
      <c r="M82" s="49"/>
      <c r="N82" s="246" t="str">
        <f>IF(C82="","",'OPĆI DIO'!$C$1)</f>
        <v>48267 SVEUČILIŠTE SJEVER</v>
      </c>
      <c r="O82" s="40" t="str">
        <f t="shared" si="18"/>
        <v>329</v>
      </c>
      <c r="P82" s="40" t="str">
        <f t="shared" si="19"/>
        <v>32</v>
      </c>
      <c r="Q82" s="40" t="str">
        <f t="shared" si="20"/>
        <v>43</v>
      </c>
      <c r="R82" s="40" t="str">
        <f t="shared" si="21"/>
        <v>94</v>
      </c>
      <c r="S82" s="40" t="str">
        <f t="shared" si="22"/>
        <v>3</v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50">
        <v>43</v>
      </c>
      <c r="D83" s="45" t="str">
        <f t="shared" si="14"/>
        <v>Ostali prihodi za posebne namjene</v>
      </c>
      <c r="E83" s="50">
        <v>3295</v>
      </c>
      <c r="F83" s="45" t="str">
        <f t="shared" si="15"/>
        <v>Pristojbe i naknade</v>
      </c>
      <c r="G83" s="327" t="s">
        <v>193</v>
      </c>
      <c r="H83" s="45" t="str">
        <f t="shared" si="16"/>
        <v>REDOVNA DJELATNOST SVEUČILIŠTA SJEVER (IZ EVIDENCIJSKIH PRIHODA)</v>
      </c>
      <c r="I83" s="45" t="str">
        <f t="shared" si="17"/>
        <v>0942</v>
      </c>
      <c r="J83" s="224">
        <v>19480</v>
      </c>
      <c r="K83" s="224">
        <v>19000</v>
      </c>
      <c r="L83" s="224">
        <v>19000</v>
      </c>
      <c r="M83" s="49"/>
      <c r="N83" s="246" t="str">
        <f>IF(C83="","",'OPĆI DIO'!$C$1)</f>
        <v>48267 SVEUČILIŠTE SJEVER</v>
      </c>
      <c r="O83" s="40" t="str">
        <f t="shared" si="18"/>
        <v>329</v>
      </c>
      <c r="P83" s="40" t="str">
        <f t="shared" si="19"/>
        <v>32</v>
      </c>
      <c r="Q83" s="40" t="str">
        <f t="shared" si="20"/>
        <v>43</v>
      </c>
      <c r="R83" s="40" t="str">
        <f t="shared" si="21"/>
        <v>94</v>
      </c>
      <c r="S83" s="40" t="str">
        <f t="shared" si="22"/>
        <v>3</v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50">
        <v>43</v>
      </c>
      <c r="D84" s="45" t="str">
        <f t="shared" si="14"/>
        <v>Ostali prihodi za posebne namjene</v>
      </c>
      <c r="E84" s="50">
        <v>3296</v>
      </c>
      <c r="F84" s="45" t="str">
        <f t="shared" si="15"/>
        <v>Troškovi sudskih postupaka</v>
      </c>
      <c r="G84" s="327" t="s">
        <v>193</v>
      </c>
      <c r="H84" s="45" t="str">
        <f t="shared" si="16"/>
        <v>REDOVNA DJELATNOST SVEUČILIŠTA SJEVER (IZ EVIDENCIJSKIH PRIHODA)</v>
      </c>
      <c r="I84" s="45" t="str">
        <f t="shared" si="17"/>
        <v>0942</v>
      </c>
      <c r="J84" s="224">
        <v>5309</v>
      </c>
      <c r="K84" s="224">
        <v>5000</v>
      </c>
      <c r="L84" s="224">
        <v>5000</v>
      </c>
      <c r="M84" s="49"/>
      <c r="N84" s="246" t="str">
        <f>IF(C84="","",'OPĆI DIO'!$C$1)</f>
        <v>48267 SVEUČILIŠTE SJEVER</v>
      </c>
      <c r="O84" s="40" t="str">
        <f t="shared" si="18"/>
        <v>329</v>
      </c>
      <c r="P84" s="40" t="str">
        <f t="shared" si="19"/>
        <v>32</v>
      </c>
      <c r="Q84" s="40" t="str">
        <f t="shared" si="20"/>
        <v>43</v>
      </c>
      <c r="R84" s="40" t="str">
        <f t="shared" si="21"/>
        <v>94</v>
      </c>
      <c r="S84" s="40" t="str">
        <f t="shared" si="22"/>
        <v>3</v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>08006</v>
      </c>
      <c r="B85" s="44" t="str">
        <f>IF(C85="","",VLOOKUP('OPĆI DIO'!$C$1,'OPĆI DIO'!$N$4:$W$137,9,FALSE))</f>
        <v>Sveučilišta i veleučilišta u Republici Hrvatskoj</v>
      </c>
      <c r="C85" s="50">
        <v>43</v>
      </c>
      <c r="D85" s="45" t="str">
        <f t="shared" si="14"/>
        <v>Ostali prihodi za posebne namjene</v>
      </c>
      <c r="E85" s="50">
        <v>3299</v>
      </c>
      <c r="F85" s="45" t="str">
        <f t="shared" si="15"/>
        <v>Ostali nespomenuti rashodi poslovanja</v>
      </c>
      <c r="G85" s="327" t="s">
        <v>193</v>
      </c>
      <c r="H85" s="45" t="str">
        <f t="shared" si="16"/>
        <v>REDOVNA DJELATNOST SVEUČILIŠTA SJEVER (IZ EVIDENCIJSKIH PRIHODA)</v>
      </c>
      <c r="I85" s="45" t="str">
        <f t="shared" si="17"/>
        <v>0942</v>
      </c>
      <c r="J85" s="224">
        <v>17000</v>
      </c>
      <c r="K85" s="224">
        <v>15000</v>
      </c>
      <c r="L85" s="224">
        <v>15000</v>
      </c>
      <c r="M85" s="49"/>
      <c r="N85" s="246" t="str">
        <f>IF(C85="","",'OPĆI DIO'!$C$1)</f>
        <v>48267 SVEUČILIŠTE SJEVER</v>
      </c>
      <c r="O85" s="40" t="str">
        <f t="shared" si="18"/>
        <v>329</v>
      </c>
      <c r="P85" s="40" t="str">
        <f t="shared" si="19"/>
        <v>32</v>
      </c>
      <c r="Q85" s="40" t="str">
        <f t="shared" si="20"/>
        <v>43</v>
      </c>
      <c r="R85" s="40" t="str">
        <f t="shared" si="21"/>
        <v>94</v>
      </c>
      <c r="S85" s="40" t="str">
        <f t="shared" si="22"/>
        <v>3</v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>08006</v>
      </c>
      <c r="B86" s="44" t="str">
        <f>IF(C86="","",VLOOKUP('OPĆI DIO'!$C$1,'OPĆI DIO'!$N$4:$W$137,9,FALSE))</f>
        <v>Sveučilišta i veleučilišta u Republici Hrvatskoj</v>
      </c>
      <c r="C86" s="50">
        <v>43</v>
      </c>
      <c r="D86" s="45" t="str">
        <f t="shared" si="14"/>
        <v>Ostali prihodi za posebne namjene</v>
      </c>
      <c r="E86" s="50">
        <v>3431</v>
      </c>
      <c r="F86" s="45" t="str">
        <f t="shared" si="15"/>
        <v>Bankarske usluge i usluge platnog prometa</v>
      </c>
      <c r="G86" s="327" t="s">
        <v>193</v>
      </c>
      <c r="H86" s="45" t="str">
        <f t="shared" si="16"/>
        <v>REDOVNA DJELATNOST SVEUČILIŠTA SJEVER (IZ EVIDENCIJSKIH PRIHODA)</v>
      </c>
      <c r="I86" s="45" t="str">
        <f t="shared" si="17"/>
        <v>0942</v>
      </c>
      <c r="J86" s="224">
        <v>8000</v>
      </c>
      <c r="K86" s="224">
        <v>8000</v>
      </c>
      <c r="L86" s="224">
        <v>8000</v>
      </c>
      <c r="M86" s="49"/>
      <c r="N86" s="246" t="str">
        <f>IF(C86="","",'OPĆI DIO'!$C$1)</f>
        <v>48267 SVEUČILIŠTE SJEVER</v>
      </c>
      <c r="O86" s="40" t="str">
        <f t="shared" si="18"/>
        <v>343</v>
      </c>
      <c r="P86" s="40" t="str">
        <f t="shared" si="19"/>
        <v>34</v>
      </c>
      <c r="Q86" s="40" t="str">
        <f t="shared" si="20"/>
        <v>43</v>
      </c>
      <c r="R86" s="40" t="str">
        <f t="shared" si="21"/>
        <v>94</v>
      </c>
      <c r="S86" s="40" t="str">
        <f t="shared" si="22"/>
        <v>3</v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>08006</v>
      </c>
      <c r="B87" s="44" t="str">
        <f>IF(C87="","",VLOOKUP('OPĆI DIO'!$C$1,'OPĆI DIO'!$N$4:$W$137,9,FALSE))</f>
        <v>Sveučilišta i veleučilišta u Republici Hrvatskoj</v>
      </c>
      <c r="C87" s="50">
        <v>43</v>
      </c>
      <c r="D87" s="45" t="str">
        <f t="shared" si="14"/>
        <v>Ostali prihodi za posebne namjene</v>
      </c>
      <c r="E87" s="50">
        <v>3433</v>
      </c>
      <c r="F87" s="45" t="str">
        <f t="shared" si="15"/>
        <v>Zatezne kamate</v>
      </c>
      <c r="G87" s="327" t="s">
        <v>193</v>
      </c>
      <c r="H87" s="45" t="str">
        <f t="shared" si="16"/>
        <v>REDOVNA DJELATNOST SVEUČILIŠTA SJEVER (IZ EVIDENCIJSKIH PRIHODA)</v>
      </c>
      <c r="I87" s="45" t="str">
        <f t="shared" si="17"/>
        <v>0942</v>
      </c>
      <c r="J87" s="224">
        <v>40</v>
      </c>
      <c r="K87" s="224">
        <v>40</v>
      </c>
      <c r="L87" s="224">
        <v>40</v>
      </c>
      <c r="M87" s="49"/>
      <c r="N87" s="246" t="str">
        <f>IF(C87="","",'OPĆI DIO'!$C$1)</f>
        <v>48267 SVEUČILIŠTE SJEVER</v>
      </c>
      <c r="O87" s="40" t="str">
        <f t="shared" si="18"/>
        <v>343</v>
      </c>
      <c r="P87" s="40" t="str">
        <f t="shared" si="19"/>
        <v>34</v>
      </c>
      <c r="Q87" s="40" t="str">
        <f t="shared" si="20"/>
        <v>43</v>
      </c>
      <c r="R87" s="40" t="str">
        <f t="shared" si="21"/>
        <v>94</v>
      </c>
      <c r="S87" s="40" t="str">
        <f t="shared" si="22"/>
        <v>3</v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>08006</v>
      </c>
      <c r="B88" s="44" t="str">
        <f>IF(C88="","",VLOOKUP('OPĆI DIO'!$C$1,'OPĆI DIO'!$N$4:$W$137,9,FALSE))</f>
        <v>Sveučilišta i veleučilišta u Republici Hrvatskoj</v>
      </c>
      <c r="C88" s="50">
        <v>43</v>
      </c>
      <c r="D88" s="45" t="str">
        <f t="shared" si="14"/>
        <v>Ostali prihodi za posebne namjene</v>
      </c>
      <c r="E88" s="50">
        <v>3721</v>
      </c>
      <c r="F88" s="45" t="str">
        <f t="shared" si="15"/>
        <v>Naknade građanima i kućanstvima u novcu</v>
      </c>
      <c r="G88" s="327" t="s">
        <v>193</v>
      </c>
      <c r="H88" s="45" t="str">
        <f t="shared" si="16"/>
        <v>REDOVNA DJELATNOST SVEUČILIŠTA SJEVER (IZ EVIDENCIJSKIH PRIHODA)</v>
      </c>
      <c r="I88" s="45" t="str">
        <f t="shared" si="17"/>
        <v>0942</v>
      </c>
      <c r="J88" s="224">
        <v>40000</v>
      </c>
      <c r="K88" s="224">
        <v>40000</v>
      </c>
      <c r="L88" s="224">
        <v>40000</v>
      </c>
      <c r="M88" s="49"/>
      <c r="N88" s="246" t="str">
        <f>IF(C88="","",'OPĆI DIO'!$C$1)</f>
        <v>48267 SVEUČILIŠTE SJEVER</v>
      </c>
      <c r="O88" s="40" t="str">
        <f t="shared" si="18"/>
        <v>372</v>
      </c>
      <c r="P88" s="40" t="str">
        <f t="shared" si="19"/>
        <v>37</v>
      </c>
      <c r="Q88" s="40" t="str">
        <f t="shared" si="20"/>
        <v>43</v>
      </c>
      <c r="R88" s="40" t="str">
        <f t="shared" si="21"/>
        <v>94</v>
      </c>
      <c r="S88" s="40" t="str">
        <f t="shared" si="22"/>
        <v>3</v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>08006</v>
      </c>
      <c r="B89" s="44" t="str">
        <f>IF(C89="","",VLOOKUP('OPĆI DIO'!$C$1,'OPĆI DIO'!$N$4:$W$137,9,FALSE))</f>
        <v>Sveučilišta i veleučilišta u Republici Hrvatskoj</v>
      </c>
      <c r="C89" s="50">
        <v>43</v>
      </c>
      <c r="D89" s="45" t="str">
        <f t="shared" si="14"/>
        <v>Ostali prihodi za posebne namjene</v>
      </c>
      <c r="E89" s="50">
        <v>4123</v>
      </c>
      <c r="F89" s="45" t="str">
        <f t="shared" si="15"/>
        <v>Licence</v>
      </c>
      <c r="G89" s="327" t="s">
        <v>193</v>
      </c>
      <c r="H89" s="45" t="str">
        <f t="shared" si="16"/>
        <v>REDOVNA DJELATNOST SVEUČILIŠTA SJEVER (IZ EVIDENCIJSKIH PRIHODA)</v>
      </c>
      <c r="I89" s="45" t="str">
        <f t="shared" si="17"/>
        <v>0942</v>
      </c>
      <c r="J89" s="224">
        <v>0</v>
      </c>
      <c r="K89" s="224">
        <v>0</v>
      </c>
      <c r="L89" s="224">
        <v>0</v>
      </c>
      <c r="M89" s="49"/>
      <c r="N89" s="246" t="str">
        <f>IF(C89="","",'OPĆI DIO'!$C$1)</f>
        <v>48267 SVEUČILIŠTE SJEVER</v>
      </c>
      <c r="O89" s="40" t="str">
        <f t="shared" si="18"/>
        <v>412</v>
      </c>
      <c r="P89" s="40" t="str">
        <f t="shared" si="19"/>
        <v>41</v>
      </c>
      <c r="Q89" s="40" t="str">
        <f t="shared" si="20"/>
        <v>43</v>
      </c>
      <c r="R89" s="40" t="str">
        <f t="shared" si="21"/>
        <v>94</v>
      </c>
      <c r="S89" s="40" t="str">
        <f t="shared" si="22"/>
        <v>4</v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>08006</v>
      </c>
      <c r="B90" s="44" t="str">
        <f>IF(C90="","",VLOOKUP('OPĆI DIO'!$C$1,'OPĆI DIO'!$N$4:$W$137,9,FALSE))</f>
        <v>Sveučilišta i veleučilišta u Republici Hrvatskoj</v>
      </c>
      <c r="C90" s="50">
        <v>43</v>
      </c>
      <c r="D90" s="45" t="str">
        <f t="shared" si="14"/>
        <v>Ostali prihodi za posebne namjene</v>
      </c>
      <c r="E90" s="50">
        <v>4222</v>
      </c>
      <c r="F90" s="45" t="str">
        <f t="shared" si="15"/>
        <v>Komunikacijska oprema</v>
      </c>
      <c r="G90" s="327" t="s">
        <v>193</v>
      </c>
      <c r="H90" s="45" t="str">
        <f t="shared" si="16"/>
        <v>REDOVNA DJELATNOST SVEUČILIŠTA SJEVER (IZ EVIDENCIJSKIH PRIHODA)</v>
      </c>
      <c r="I90" s="45" t="str">
        <f t="shared" si="17"/>
        <v>0942</v>
      </c>
      <c r="J90" s="224">
        <v>3500</v>
      </c>
      <c r="K90" s="224">
        <v>3500</v>
      </c>
      <c r="L90" s="224">
        <v>3500</v>
      </c>
      <c r="M90" s="49"/>
      <c r="N90" s="246" t="str">
        <f>IF(C90="","",'OPĆI DIO'!$C$1)</f>
        <v>48267 SVEUČILIŠTE SJEVER</v>
      </c>
      <c r="O90" s="40" t="str">
        <f t="shared" si="18"/>
        <v>422</v>
      </c>
      <c r="P90" s="40" t="str">
        <f t="shared" si="19"/>
        <v>42</v>
      </c>
      <c r="Q90" s="40" t="str">
        <f t="shared" si="20"/>
        <v>43</v>
      </c>
      <c r="R90" s="40" t="str">
        <f t="shared" si="21"/>
        <v>94</v>
      </c>
      <c r="S90" s="40" t="str">
        <f t="shared" si="22"/>
        <v>4</v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>08006</v>
      </c>
      <c r="B91" s="44" t="str">
        <f>IF(C91="","",VLOOKUP('OPĆI DIO'!$C$1,'OPĆI DIO'!$N$4:$W$137,9,FALSE))</f>
        <v>Sveučilišta i veleučilišta u Republici Hrvatskoj</v>
      </c>
      <c r="C91" s="50">
        <v>43</v>
      </c>
      <c r="D91" s="45" t="str">
        <f t="shared" si="14"/>
        <v>Ostali prihodi za posebne namjene</v>
      </c>
      <c r="E91" s="50">
        <v>4124</v>
      </c>
      <c r="F91" s="45" t="str">
        <f t="shared" si="15"/>
        <v>Ostala prava</v>
      </c>
      <c r="G91" s="327" t="s">
        <v>193</v>
      </c>
      <c r="H91" s="45" t="str">
        <f t="shared" si="16"/>
        <v>REDOVNA DJELATNOST SVEUČILIŠTA SJEVER (IZ EVIDENCIJSKIH PRIHODA)</v>
      </c>
      <c r="I91" s="45" t="str">
        <f t="shared" si="17"/>
        <v>0942</v>
      </c>
      <c r="J91" s="224">
        <f>477802+14214+2000000</f>
        <v>2492016</v>
      </c>
      <c r="K91" s="224">
        <v>50000</v>
      </c>
      <c r="L91" s="224">
        <v>50000</v>
      </c>
      <c r="M91" s="49"/>
      <c r="N91" s="246" t="str">
        <f>IF(C91="","",'OPĆI DIO'!$C$1)</f>
        <v>48267 SVEUČILIŠTE SJEVER</v>
      </c>
      <c r="O91" s="40" t="str">
        <f t="shared" si="18"/>
        <v>412</v>
      </c>
      <c r="P91" s="40" t="str">
        <f t="shared" si="19"/>
        <v>41</v>
      </c>
      <c r="Q91" s="40" t="str">
        <f t="shared" si="20"/>
        <v>43</v>
      </c>
      <c r="R91" s="40" t="str">
        <f t="shared" si="21"/>
        <v>94</v>
      </c>
      <c r="S91" s="40" t="str">
        <f t="shared" si="22"/>
        <v>4</v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>08006</v>
      </c>
      <c r="B92" s="44" t="str">
        <f>IF(C92="","",VLOOKUP('OPĆI DIO'!$C$1,'OPĆI DIO'!$N$4:$W$137,9,FALSE))</f>
        <v>Sveučilišta i veleučilišta u Republici Hrvatskoj</v>
      </c>
      <c r="C92" s="50">
        <v>43</v>
      </c>
      <c r="D92" s="45" t="str">
        <f t="shared" si="14"/>
        <v>Ostali prihodi za posebne namjene</v>
      </c>
      <c r="E92" s="50">
        <v>4212</v>
      </c>
      <c r="F92" s="45" t="str">
        <f t="shared" si="15"/>
        <v>Poslovni objekti</v>
      </c>
      <c r="G92" s="327" t="s">
        <v>193</v>
      </c>
      <c r="H92" s="45" t="str">
        <f t="shared" si="16"/>
        <v>REDOVNA DJELATNOST SVEUČILIŠTA SJEVER (IZ EVIDENCIJSKIH PRIHODA)</v>
      </c>
      <c r="I92" s="45" t="str">
        <f t="shared" si="17"/>
        <v>0942</v>
      </c>
      <c r="J92" s="224">
        <f>3053000-2000000</f>
        <v>1053000</v>
      </c>
      <c r="K92" s="224">
        <v>200000</v>
      </c>
      <c r="L92" s="224">
        <v>150000</v>
      </c>
      <c r="M92" s="49"/>
      <c r="N92" s="246" t="str">
        <f>IF(C92="","",'OPĆI DIO'!$C$1)</f>
        <v>48267 SVEUČILIŠTE SJEVER</v>
      </c>
      <c r="O92" s="40" t="str">
        <f t="shared" si="18"/>
        <v>421</v>
      </c>
      <c r="P92" s="40" t="str">
        <f t="shared" si="19"/>
        <v>42</v>
      </c>
      <c r="Q92" s="40" t="str">
        <f t="shared" si="20"/>
        <v>43</v>
      </c>
      <c r="R92" s="40" t="str">
        <f t="shared" si="21"/>
        <v>94</v>
      </c>
      <c r="S92" s="40" t="str">
        <f t="shared" si="22"/>
        <v>4</v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>08006</v>
      </c>
      <c r="B93" s="44" t="str">
        <f>IF(C93="","",VLOOKUP('OPĆI DIO'!$C$1,'OPĆI DIO'!$N$4:$W$137,9,FALSE))</f>
        <v>Sveučilišta i veleučilišta u Republici Hrvatskoj</v>
      </c>
      <c r="C93" s="50">
        <v>43</v>
      </c>
      <c r="D93" s="45" t="str">
        <f t="shared" si="14"/>
        <v>Ostali prihodi za posebne namjene</v>
      </c>
      <c r="E93" s="50">
        <v>4221</v>
      </c>
      <c r="F93" s="45" t="str">
        <f t="shared" si="15"/>
        <v>Uredska oprema i namještaj</v>
      </c>
      <c r="G93" s="327" t="s">
        <v>193</v>
      </c>
      <c r="H93" s="45" t="str">
        <f t="shared" si="16"/>
        <v>REDOVNA DJELATNOST SVEUČILIŠTA SJEVER (IZ EVIDENCIJSKIH PRIHODA)</v>
      </c>
      <c r="I93" s="45" t="str">
        <f t="shared" si="17"/>
        <v>0942</v>
      </c>
      <c r="J93" s="224">
        <f>49771+15000+60000</f>
        <v>124771</v>
      </c>
      <c r="K93" s="224">
        <v>100000</v>
      </c>
      <c r="L93" s="224">
        <v>150000</v>
      </c>
      <c r="M93" s="49"/>
      <c r="N93" s="246" t="str">
        <f>IF(C93="","",'OPĆI DIO'!$C$1)</f>
        <v>48267 SVEUČILIŠTE SJEVER</v>
      </c>
      <c r="O93" s="40" t="str">
        <f t="shared" si="18"/>
        <v>422</v>
      </c>
      <c r="P93" s="40" t="str">
        <f t="shared" si="19"/>
        <v>42</v>
      </c>
      <c r="Q93" s="40" t="str">
        <f t="shared" si="20"/>
        <v>43</v>
      </c>
      <c r="R93" s="40" t="str">
        <f t="shared" si="21"/>
        <v>94</v>
      </c>
      <c r="S93" s="40" t="str">
        <f t="shared" si="22"/>
        <v>4</v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>08006</v>
      </c>
      <c r="B94" s="44" t="str">
        <f>IF(C94="","",VLOOKUP('OPĆI DIO'!$C$1,'OPĆI DIO'!$N$4:$W$137,9,FALSE))</f>
        <v>Sveučilišta i veleučilišta u Republici Hrvatskoj</v>
      </c>
      <c r="C94" s="50">
        <v>43</v>
      </c>
      <c r="D94" s="45" t="str">
        <f t="shared" si="14"/>
        <v>Ostali prihodi za posebne namjene</v>
      </c>
      <c r="E94" s="50">
        <v>4227</v>
      </c>
      <c r="F94" s="45" t="str">
        <f t="shared" si="15"/>
        <v>Uređaji, strojevi i oprema za ostale namjene</v>
      </c>
      <c r="G94" s="327" t="s">
        <v>193</v>
      </c>
      <c r="H94" s="45" t="str">
        <f t="shared" si="16"/>
        <v>REDOVNA DJELATNOST SVEUČILIŠTA SJEVER (IZ EVIDENCIJSKIH PRIHODA)</v>
      </c>
      <c r="I94" s="45" t="str">
        <f t="shared" si="17"/>
        <v>0942</v>
      </c>
      <c r="J94" s="224">
        <v>200000</v>
      </c>
      <c r="K94" s="224">
        <v>100000</v>
      </c>
      <c r="L94" s="224">
        <v>100000</v>
      </c>
      <c r="M94" s="49"/>
      <c r="N94" s="246" t="str">
        <f>IF(C94="","",'OPĆI DIO'!$C$1)</f>
        <v>48267 SVEUČILIŠTE SJEVER</v>
      </c>
      <c r="O94" s="40" t="str">
        <f t="shared" si="18"/>
        <v>422</v>
      </c>
      <c r="P94" s="40" t="str">
        <f t="shared" si="19"/>
        <v>42</v>
      </c>
      <c r="Q94" s="40" t="str">
        <f t="shared" si="20"/>
        <v>43</v>
      </c>
      <c r="R94" s="40" t="str">
        <f t="shared" si="21"/>
        <v>94</v>
      </c>
      <c r="S94" s="40" t="str">
        <f t="shared" si="22"/>
        <v>4</v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>08006</v>
      </c>
      <c r="B95" s="44" t="str">
        <f>IF(C95="","",VLOOKUP('OPĆI DIO'!$C$1,'OPĆI DIO'!$N$4:$W$137,9,FALSE))</f>
        <v>Sveučilišta i veleučilišta u Republici Hrvatskoj</v>
      </c>
      <c r="C95" s="50">
        <v>43</v>
      </c>
      <c r="D95" s="45" t="str">
        <f t="shared" si="14"/>
        <v>Ostali prihodi za posebne namjene</v>
      </c>
      <c r="E95" s="50">
        <v>4231</v>
      </c>
      <c r="F95" s="45" t="str">
        <f t="shared" si="15"/>
        <v>Prijevozna sredstva u cestovnom prometu</v>
      </c>
      <c r="G95" s="327" t="s">
        <v>193</v>
      </c>
      <c r="H95" s="45" t="str">
        <f t="shared" si="16"/>
        <v>REDOVNA DJELATNOST SVEUČILIŠTA SJEVER (IZ EVIDENCIJSKIH PRIHODA)</v>
      </c>
      <c r="I95" s="45" t="str">
        <f t="shared" si="17"/>
        <v>0942</v>
      </c>
      <c r="J95" s="224">
        <v>37500</v>
      </c>
      <c r="K95" s="224">
        <v>0</v>
      </c>
      <c r="L95" s="224">
        <v>0</v>
      </c>
      <c r="M95" s="49"/>
      <c r="N95" s="246" t="str">
        <f>IF(C95="","",'OPĆI DIO'!$C$1)</f>
        <v>48267 SVEUČILIŠTE SJEVER</v>
      </c>
      <c r="O95" s="40" t="str">
        <f t="shared" si="18"/>
        <v>423</v>
      </c>
      <c r="P95" s="40" t="str">
        <f t="shared" si="19"/>
        <v>42</v>
      </c>
      <c r="Q95" s="40" t="str">
        <f t="shared" si="20"/>
        <v>43</v>
      </c>
      <c r="R95" s="40" t="str">
        <f t="shared" si="21"/>
        <v>94</v>
      </c>
      <c r="S95" s="40" t="str">
        <f t="shared" si="22"/>
        <v>4</v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/>
      </c>
      <c r="B96" s="44" t="str">
        <f>IF(C96="","",VLOOKUP('OPĆI DIO'!$C$1,'OPĆI DIO'!$N$4:$W$137,9,FALSE))</f>
        <v/>
      </c>
      <c r="C96" s="50"/>
      <c r="D96" s="45" t="str">
        <f t="shared" si="14"/>
        <v/>
      </c>
      <c r="E96" s="50"/>
      <c r="F96" s="45" t="str">
        <f t="shared" si="15"/>
        <v/>
      </c>
      <c r="G96" s="328"/>
      <c r="H96" s="45" t="str">
        <f t="shared" si="16"/>
        <v/>
      </c>
      <c r="I96" s="45" t="str">
        <f t="shared" si="17"/>
        <v/>
      </c>
      <c r="J96" s="224"/>
      <c r="K96" s="224"/>
      <c r="L96" s="224"/>
      <c r="M96" s="49"/>
      <c r="N96" s="246" t="str">
        <f>IF(C96="","",'OPĆI DIO'!$C$1)</f>
        <v/>
      </c>
      <c r="O96" s="40" t="str">
        <f t="shared" si="18"/>
        <v/>
      </c>
      <c r="P96" s="40" t="str">
        <f t="shared" si="19"/>
        <v/>
      </c>
      <c r="Q96" s="40" t="str">
        <f t="shared" si="20"/>
        <v/>
      </c>
      <c r="R96" s="40" t="str">
        <f t="shared" si="21"/>
        <v/>
      </c>
      <c r="S96" s="40" t="str">
        <f t="shared" si="22"/>
        <v/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/>
      </c>
      <c r="B97" s="44" t="str">
        <f>IF(C97="","",VLOOKUP('OPĆI DIO'!$C$1,'OPĆI DIO'!$N$4:$W$137,9,FALSE))</f>
        <v/>
      </c>
      <c r="C97" s="50"/>
      <c r="D97" s="45" t="str">
        <f t="shared" si="14"/>
        <v/>
      </c>
      <c r="E97" s="50"/>
      <c r="F97" s="45" t="str">
        <f t="shared" si="15"/>
        <v/>
      </c>
      <c r="G97" s="328"/>
      <c r="H97" s="45" t="str">
        <f t="shared" si="16"/>
        <v/>
      </c>
      <c r="I97" s="45" t="str">
        <f t="shared" si="17"/>
        <v/>
      </c>
      <c r="J97" s="224"/>
      <c r="K97" s="224"/>
      <c r="L97" s="224"/>
      <c r="M97" s="49"/>
      <c r="N97" s="246" t="str">
        <f>IF(C97="","",'OPĆI DIO'!$C$1)</f>
        <v/>
      </c>
      <c r="O97" s="40" t="str">
        <f t="shared" si="18"/>
        <v/>
      </c>
      <c r="P97" s="40" t="str">
        <f t="shared" si="19"/>
        <v/>
      </c>
      <c r="Q97" s="40" t="str">
        <f t="shared" si="20"/>
        <v/>
      </c>
      <c r="R97" s="40" t="str">
        <f t="shared" si="21"/>
        <v/>
      </c>
      <c r="S97" s="40" t="str">
        <f t="shared" si="22"/>
        <v/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/>
      </c>
      <c r="B98" s="44" t="str">
        <f>IF(C98="","",VLOOKUP('OPĆI DIO'!$C$1,'OPĆI DIO'!$N$4:$W$137,9,FALSE))</f>
        <v/>
      </c>
      <c r="C98" s="50"/>
      <c r="D98" s="45" t="str">
        <f t="shared" si="14"/>
        <v/>
      </c>
      <c r="E98" s="50"/>
      <c r="F98" s="45" t="str">
        <f t="shared" si="15"/>
        <v/>
      </c>
      <c r="G98" s="328"/>
      <c r="H98" s="45" t="str">
        <f t="shared" si="16"/>
        <v/>
      </c>
      <c r="I98" s="45" t="str">
        <f t="shared" si="17"/>
        <v/>
      </c>
      <c r="J98" s="224"/>
      <c r="K98" s="224"/>
      <c r="L98" s="224"/>
      <c r="M98" s="49"/>
      <c r="N98" s="246" t="str">
        <f>IF(C98="","",'OPĆI DIO'!$C$1)</f>
        <v/>
      </c>
      <c r="O98" s="40" t="str">
        <f t="shared" si="18"/>
        <v/>
      </c>
      <c r="P98" s="40" t="str">
        <f t="shared" si="19"/>
        <v/>
      </c>
      <c r="Q98" s="40" t="str">
        <f t="shared" si="20"/>
        <v/>
      </c>
      <c r="R98" s="40" t="str">
        <f t="shared" si="21"/>
        <v/>
      </c>
      <c r="S98" s="40" t="str">
        <f t="shared" si="22"/>
        <v/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>08006</v>
      </c>
      <c r="B99" s="44" t="str">
        <f>IF(C99="","",VLOOKUP('OPĆI DIO'!$C$1,'OPĆI DIO'!$N$4:$W$137,9,FALSE))</f>
        <v>Sveučilišta i veleučilišta u Republici Hrvatskoj</v>
      </c>
      <c r="C99" s="50">
        <v>52</v>
      </c>
      <c r="D99" s="45" t="str">
        <f t="shared" si="14"/>
        <v>Ostale pomoći</v>
      </c>
      <c r="E99" s="50">
        <v>4231</v>
      </c>
      <c r="F99" s="45" t="str">
        <f t="shared" si="15"/>
        <v>Prijevozna sredstva u cestovnom prometu</v>
      </c>
      <c r="G99" s="327" t="s">
        <v>193</v>
      </c>
      <c r="H99" s="45" t="str">
        <f t="shared" si="16"/>
        <v>REDOVNA DJELATNOST SVEUČILIŠTA SJEVER (IZ EVIDENCIJSKIH PRIHODA)</v>
      </c>
      <c r="I99" s="45" t="str">
        <f t="shared" si="17"/>
        <v>0942</v>
      </c>
      <c r="J99" s="224">
        <v>9291</v>
      </c>
      <c r="K99" s="224">
        <v>0</v>
      </c>
      <c r="L99" s="224">
        <v>0</v>
      </c>
      <c r="M99" s="49"/>
      <c r="N99" s="246" t="str">
        <f>IF(C99="","",'OPĆI DIO'!$C$1)</f>
        <v>48267 SVEUČILIŠTE SJEVER</v>
      </c>
      <c r="O99" s="40" t="str">
        <f t="shared" si="18"/>
        <v>423</v>
      </c>
      <c r="P99" s="40" t="str">
        <f t="shared" si="19"/>
        <v>42</v>
      </c>
      <c r="Q99" s="40" t="str">
        <f t="shared" si="20"/>
        <v>52</v>
      </c>
      <c r="R99" s="40" t="str">
        <f t="shared" si="21"/>
        <v>94</v>
      </c>
      <c r="S99" s="40" t="str">
        <f t="shared" si="22"/>
        <v>4</v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>08006</v>
      </c>
      <c r="B100" s="44" t="str">
        <f>IF(C100="","",VLOOKUP('OPĆI DIO'!$C$1,'OPĆI DIO'!$N$4:$W$137,9,FALSE))</f>
        <v>Sveučilišta i veleučilišta u Republici Hrvatskoj</v>
      </c>
      <c r="C100" s="50">
        <v>52</v>
      </c>
      <c r="D100" s="45" t="str">
        <f t="shared" si="14"/>
        <v>Ostale pomoći</v>
      </c>
      <c r="E100" s="50">
        <v>3111</v>
      </c>
      <c r="F100" s="45" t="str">
        <f t="shared" si="15"/>
        <v>Plaće za redovan rad</v>
      </c>
      <c r="G100" s="327" t="s">
        <v>193</v>
      </c>
      <c r="H100" s="45" t="str">
        <f t="shared" si="16"/>
        <v>REDOVNA DJELATNOST SVEUČILIŠTA SJEVER (IZ EVIDENCIJSKIH PRIHODA)</v>
      </c>
      <c r="I100" s="45" t="str">
        <f t="shared" si="17"/>
        <v>0942</v>
      </c>
      <c r="J100" s="224">
        <v>18966</v>
      </c>
      <c r="K100" s="224">
        <v>18966</v>
      </c>
      <c r="L100" s="224">
        <v>12644</v>
      </c>
      <c r="M100" s="49"/>
      <c r="N100" s="246" t="str">
        <f>IF(C100="","",'OPĆI DIO'!$C$1)</f>
        <v>48267 SVEUČILIŠTE SJEVER</v>
      </c>
      <c r="O100" s="40" t="str">
        <f t="shared" si="18"/>
        <v>311</v>
      </c>
      <c r="P100" s="40" t="str">
        <f t="shared" si="19"/>
        <v>31</v>
      </c>
      <c r="Q100" s="40" t="str">
        <f t="shared" si="20"/>
        <v>52</v>
      </c>
      <c r="R100" s="40" t="str">
        <f t="shared" si="21"/>
        <v>94</v>
      </c>
      <c r="S100" s="40" t="str">
        <f t="shared" si="22"/>
        <v>3</v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>08006</v>
      </c>
      <c r="B101" s="44" t="str">
        <f>IF(C101="","",VLOOKUP('OPĆI DIO'!$C$1,'OPĆI DIO'!$N$4:$W$137,9,FALSE))</f>
        <v>Sveučilišta i veleučilišta u Republici Hrvatskoj</v>
      </c>
      <c r="C101" s="50">
        <v>52</v>
      </c>
      <c r="D101" s="45" t="str">
        <f t="shared" si="14"/>
        <v>Ostale pomoći</v>
      </c>
      <c r="E101" s="50">
        <v>3132</v>
      </c>
      <c r="F101" s="45" t="str">
        <f t="shared" si="15"/>
        <v>Doprinosi za obvezno zdravstveno osiguranje</v>
      </c>
      <c r="G101" s="327" t="s">
        <v>193</v>
      </c>
      <c r="H101" s="45" t="str">
        <f t="shared" si="16"/>
        <v>REDOVNA DJELATNOST SVEUČILIŠTA SJEVER (IZ EVIDENCIJSKIH PRIHODA)</v>
      </c>
      <c r="I101" s="45" t="str">
        <f t="shared" si="17"/>
        <v>0942</v>
      </c>
      <c r="J101" s="224">
        <v>3129</v>
      </c>
      <c r="K101" s="224">
        <v>3129</v>
      </c>
      <c r="L101" s="224">
        <v>2086</v>
      </c>
      <c r="M101" s="49"/>
      <c r="N101" s="246" t="str">
        <f>IF(C101="","",'OPĆI DIO'!$C$1)</f>
        <v>48267 SVEUČILIŠTE SJEVER</v>
      </c>
      <c r="O101" s="40" t="str">
        <f t="shared" si="18"/>
        <v>313</v>
      </c>
      <c r="P101" s="40" t="str">
        <f t="shared" si="19"/>
        <v>31</v>
      </c>
      <c r="Q101" s="40" t="str">
        <f t="shared" si="20"/>
        <v>52</v>
      </c>
      <c r="R101" s="40" t="str">
        <f t="shared" si="21"/>
        <v>94</v>
      </c>
      <c r="S101" s="40" t="str">
        <f t="shared" si="22"/>
        <v>3</v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>08006</v>
      </c>
      <c r="B102" s="44" t="str">
        <f>IF(C102="","",VLOOKUP('OPĆI DIO'!$C$1,'OPĆI DIO'!$N$4:$W$137,9,FALSE))</f>
        <v>Sveučilišta i veleučilišta u Republici Hrvatskoj</v>
      </c>
      <c r="C102" s="50">
        <v>52</v>
      </c>
      <c r="D102" s="45" t="str">
        <f t="shared" si="14"/>
        <v>Ostale pomoći</v>
      </c>
      <c r="E102" s="50">
        <v>3211</v>
      </c>
      <c r="F102" s="45" t="str">
        <f t="shared" si="15"/>
        <v>Službena putovanja</v>
      </c>
      <c r="G102" s="327" t="s">
        <v>193</v>
      </c>
      <c r="H102" s="45" t="str">
        <f t="shared" si="16"/>
        <v>REDOVNA DJELATNOST SVEUČILIŠTA SJEVER (IZ EVIDENCIJSKIH PRIHODA)</v>
      </c>
      <c r="I102" s="45" t="str">
        <f t="shared" si="17"/>
        <v>0942</v>
      </c>
      <c r="J102" s="224">
        <f>20000+1332+1664+1034+1796+1332+1266</f>
        <v>28424</v>
      </c>
      <c r="K102" s="224">
        <f>20000+931+1827+1500+1562+1214+1830</f>
        <v>28864</v>
      </c>
      <c r="L102" s="224">
        <f>1000+500+500+500+500</f>
        <v>3000</v>
      </c>
      <c r="M102" s="49"/>
      <c r="N102" s="246" t="str">
        <f>IF(C102="","",'OPĆI DIO'!$C$1)</f>
        <v>48267 SVEUČILIŠTE SJEVER</v>
      </c>
      <c r="O102" s="40" t="str">
        <f t="shared" si="18"/>
        <v>321</v>
      </c>
      <c r="P102" s="40" t="str">
        <f t="shared" si="19"/>
        <v>32</v>
      </c>
      <c r="Q102" s="40" t="str">
        <f t="shared" si="20"/>
        <v>52</v>
      </c>
      <c r="R102" s="40" t="str">
        <f t="shared" si="21"/>
        <v>94</v>
      </c>
      <c r="S102" s="40" t="str">
        <f t="shared" si="22"/>
        <v>3</v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>08006</v>
      </c>
      <c r="B103" s="44" t="str">
        <f>IF(C103="","",VLOOKUP('OPĆI DIO'!$C$1,'OPĆI DIO'!$N$4:$W$137,9,FALSE))</f>
        <v>Sveučilišta i veleučilišta u Republici Hrvatskoj</v>
      </c>
      <c r="C103" s="50">
        <v>52</v>
      </c>
      <c r="D103" s="45" t="str">
        <f t="shared" si="14"/>
        <v>Ostale pomoći</v>
      </c>
      <c r="E103" s="50">
        <v>3213</v>
      </c>
      <c r="F103" s="45" t="str">
        <f t="shared" si="15"/>
        <v>Stručno usavršavanje zaposlenika</v>
      </c>
      <c r="G103" s="327" t="s">
        <v>193</v>
      </c>
      <c r="H103" s="45" t="str">
        <f t="shared" si="16"/>
        <v>REDOVNA DJELATNOST SVEUČILIŠTA SJEVER (IZ EVIDENCIJSKIH PRIHODA)</v>
      </c>
      <c r="I103" s="45" t="str">
        <f t="shared" si="17"/>
        <v>0942</v>
      </c>
      <c r="J103" s="224">
        <v>1000</v>
      </c>
      <c r="K103" s="224">
        <v>1106</v>
      </c>
      <c r="L103" s="224">
        <v>1000</v>
      </c>
      <c r="M103" s="49"/>
      <c r="N103" s="246" t="str">
        <f>IF(C103="","",'OPĆI DIO'!$C$1)</f>
        <v>48267 SVEUČILIŠTE SJEVER</v>
      </c>
      <c r="O103" s="40" t="str">
        <f t="shared" si="18"/>
        <v>321</v>
      </c>
      <c r="P103" s="40" t="str">
        <f t="shared" si="19"/>
        <v>32</v>
      </c>
      <c r="Q103" s="40" t="str">
        <f t="shared" si="20"/>
        <v>52</v>
      </c>
      <c r="R103" s="40" t="str">
        <f t="shared" si="21"/>
        <v>94</v>
      </c>
      <c r="S103" s="40" t="str">
        <f t="shared" si="22"/>
        <v>3</v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>08006</v>
      </c>
      <c r="B104" s="44" t="str">
        <f>IF(C104="","",VLOOKUP('OPĆI DIO'!$C$1,'OPĆI DIO'!$N$4:$W$137,9,FALSE))</f>
        <v>Sveučilišta i veleučilišta u Republici Hrvatskoj</v>
      </c>
      <c r="C104" s="50">
        <v>52</v>
      </c>
      <c r="D104" s="45" t="str">
        <f t="shared" si="14"/>
        <v>Ostale pomoći</v>
      </c>
      <c r="E104" s="50">
        <v>3221</v>
      </c>
      <c r="F104" s="45" t="str">
        <f t="shared" si="15"/>
        <v>Uredski materijal i ostali materijalni rashodi</v>
      </c>
      <c r="G104" s="327" t="s">
        <v>193</v>
      </c>
      <c r="H104" s="45" t="str">
        <f t="shared" si="16"/>
        <v>REDOVNA DJELATNOST SVEUČILIŠTA SJEVER (IZ EVIDENCIJSKIH PRIHODA)</v>
      </c>
      <c r="I104" s="45" t="str">
        <f t="shared" si="17"/>
        <v>0942</v>
      </c>
      <c r="J104" s="224">
        <v>5302</v>
      </c>
      <c r="K104" s="224">
        <v>7084</v>
      </c>
      <c r="L104" s="224">
        <v>1890</v>
      </c>
      <c r="M104" s="49"/>
      <c r="N104" s="246" t="str">
        <f>IF(C104="","",'OPĆI DIO'!$C$1)</f>
        <v>48267 SVEUČILIŠTE SJEVER</v>
      </c>
      <c r="O104" s="40" t="str">
        <f t="shared" si="18"/>
        <v>322</v>
      </c>
      <c r="P104" s="40" t="str">
        <f t="shared" si="19"/>
        <v>32</v>
      </c>
      <c r="Q104" s="40" t="str">
        <f t="shared" si="20"/>
        <v>52</v>
      </c>
      <c r="R104" s="40" t="str">
        <f t="shared" si="21"/>
        <v>94</v>
      </c>
      <c r="S104" s="40" t="str">
        <f t="shared" si="22"/>
        <v>3</v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>08006</v>
      </c>
      <c r="B105" s="44" t="str">
        <f>IF(C105="","",VLOOKUP('OPĆI DIO'!$C$1,'OPĆI DIO'!$N$4:$W$137,9,FALSE))</f>
        <v>Sveučilišta i veleučilišta u Republici Hrvatskoj</v>
      </c>
      <c r="C105" s="50">
        <v>52</v>
      </c>
      <c r="D105" s="45" t="str">
        <f t="shared" si="14"/>
        <v>Ostale pomoći</v>
      </c>
      <c r="E105" s="50">
        <v>3233</v>
      </c>
      <c r="F105" s="45" t="str">
        <f t="shared" si="15"/>
        <v>Usluge promidžbe i informiranja</v>
      </c>
      <c r="G105" s="327" t="s">
        <v>193</v>
      </c>
      <c r="H105" s="45" t="str">
        <f t="shared" si="16"/>
        <v>REDOVNA DJELATNOST SVEUČILIŠTA SJEVER (IZ EVIDENCIJSKIH PRIHODA)</v>
      </c>
      <c r="I105" s="45" t="str">
        <f t="shared" si="17"/>
        <v>0942</v>
      </c>
      <c r="J105" s="224">
        <v>1526</v>
      </c>
      <c r="K105" s="224">
        <v>265</v>
      </c>
      <c r="L105" s="224">
        <v>1330</v>
      </c>
      <c r="M105" s="49"/>
      <c r="N105" s="246" t="str">
        <f>IF(C105="","",'OPĆI DIO'!$C$1)</f>
        <v>48267 SVEUČILIŠTE SJEVER</v>
      </c>
      <c r="O105" s="40" t="str">
        <f t="shared" si="18"/>
        <v>323</v>
      </c>
      <c r="P105" s="40" t="str">
        <f t="shared" si="19"/>
        <v>32</v>
      </c>
      <c r="Q105" s="40" t="str">
        <f t="shared" si="20"/>
        <v>52</v>
      </c>
      <c r="R105" s="40" t="str">
        <f t="shared" si="21"/>
        <v>94</v>
      </c>
      <c r="S105" s="40" t="str">
        <f t="shared" si="22"/>
        <v>3</v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 ht="15.75" thickBot="1">
      <c r="A106" s="44" t="str">
        <f>IF(C106="","",VLOOKUP('OPĆI DIO'!$C$1,'OPĆI DIO'!$N$4:$W$137,10,FALSE))</f>
        <v>08006</v>
      </c>
      <c r="B106" s="44" t="str">
        <f>IF(C106="","",VLOOKUP('OPĆI DIO'!$C$1,'OPĆI DIO'!$N$4:$W$137,9,FALSE))</f>
        <v>Sveučilišta i veleučilišta u Republici Hrvatskoj</v>
      </c>
      <c r="C106" s="50">
        <v>52</v>
      </c>
      <c r="D106" s="45" t="str">
        <f t="shared" si="14"/>
        <v>Ostale pomoći</v>
      </c>
      <c r="E106" s="325">
        <v>3237</v>
      </c>
      <c r="F106" s="45" t="str">
        <f t="shared" si="15"/>
        <v>Intelektualne i osobne usluge</v>
      </c>
      <c r="G106" s="327" t="s">
        <v>193</v>
      </c>
      <c r="H106" s="45" t="str">
        <f t="shared" si="16"/>
        <v>REDOVNA DJELATNOST SVEUČILIŠTA SJEVER (IZ EVIDENCIJSKIH PRIHODA)</v>
      </c>
      <c r="I106" s="45" t="str">
        <f t="shared" si="17"/>
        <v>0942</v>
      </c>
      <c r="J106" s="224">
        <v>6636</v>
      </c>
      <c r="K106" s="224">
        <v>7963</v>
      </c>
      <c r="L106" s="224">
        <v>3000</v>
      </c>
      <c r="M106" s="49"/>
      <c r="N106" s="246" t="str">
        <f>IF(C106="","",'OPĆI DIO'!$C$1)</f>
        <v>48267 SVEUČILIŠTE SJEVER</v>
      </c>
      <c r="O106" s="40" t="str">
        <f t="shared" si="18"/>
        <v>323</v>
      </c>
      <c r="P106" s="40" t="str">
        <f t="shared" si="19"/>
        <v>32</v>
      </c>
      <c r="Q106" s="40" t="str">
        <f t="shared" si="20"/>
        <v>52</v>
      </c>
      <c r="R106" s="40" t="str">
        <f t="shared" si="21"/>
        <v>94</v>
      </c>
      <c r="S106" s="40" t="str">
        <f t="shared" si="22"/>
        <v>3</v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>08006</v>
      </c>
      <c r="B107" s="44" t="str">
        <f>IF(C107="","",VLOOKUP('OPĆI DIO'!$C$1,'OPĆI DIO'!$N$4:$W$137,9,FALSE))</f>
        <v>Sveučilišta i veleučilišta u Republici Hrvatskoj</v>
      </c>
      <c r="C107" s="50">
        <v>52</v>
      </c>
      <c r="D107" s="45" t="str">
        <f t="shared" si="14"/>
        <v>Ostale pomoći</v>
      </c>
      <c r="E107" s="50">
        <v>3239</v>
      </c>
      <c r="F107" s="45" t="str">
        <f t="shared" si="15"/>
        <v>Ostale usluge</v>
      </c>
      <c r="G107" s="327" t="s">
        <v>193</v>
      </c>
      <c r="H107" s="45" t="str">
        <f t="shared" si="16"/>
        <v>REDOVNA DJELATNOST SVEUČILIŠTA SJEVER (IZ EVIDENCIJSKIH PRIHODA)</v>
      </c>
      <c r="I107" s="45" t="str">
        <f t="shared" si="17"/>
        <v>0942</v>
      </c>
      <c r="J107" s="224">
        <v>133</v>
      </c>
      <c r="K107" s="224">
        <v>1858</v>
      </c>
      <c r="L107" s="224">
        <v>0</v>
      </c>
      <c r="M107" s="49"/>
      <c r="N107" s="246" t="str">
        <f>IF(C107="","",'OPĆI DIO'!$C$1)</f>
        <v>48267 SVEUČILIŠTE SJEVER</v>
      </c>
      <c r="O107" s="40" t="str">
        <f t="shared" si="18"/>
        <v>323</v>
      </c>
      <c r="P107" s="40" t="str">
        <f t="shared" si="19"/>
        <v>32</v>
      </c>
      <c r="Q107" s="40" t="str">
        <f t="shared" si="20"/>
        <v>52</v>
      </c>
      <c r="R107" s="40" t="str">
        <f t="shared" si="21"/>
        <v>94</v>
      </c>
      <c r="S107" s="40" t="str">
        <f t="shared" si="22"/>
        <v>3</v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>08006</v>
      </c>
      <c r="B108" s="44" t="str">
        <f>IF(C108="","",VLOOKUP('OPĆI DIO'!$C$1,'OPĆI DIO'!$N$4:$W$137,9,FALSE))</f>
        <v>Sveučilišta i veleučilišta u Republici Hrvatskoj</v>
      </c>
      <c r="C108" s="50">
        <v>52</v>
      </c>
      <c r="D108" s="45" t="str">
        <f t="shared" si="14"/>
        <v>Ostale pomoći</v>
      </c>
      <c r="E108" s="50">
        <v>3241</v>
      </c>
      <c r="F108" s="45" t="str">
        <f t="shared" si="15"/>
        <v>Naknade troškova osobama izvan radnog odnosa</v>
      </c>
      <c r="G108" s="327" t="s">
        <v>193</v>
      </c>
      <c r="H108" s="45" t="str">
        <f t="shared" si="16"/>
        <v>REDOVNA DJELATNOST SVEUČILIŠTA SJEVER (IZ EVIDENCIJSKIH PRIHODA)</v>
      </c>
      <c r="I108" s="45" t="str">
        <f t="shared" si="17"/>
        <v>0942</v>
      </c>
      <c r="J108" s="224">
        <v>664</v>
      </c>
      <c r="K108" s="224">
        <v>548</v>
      </c>
      <c r="L108" s="224">
        <v>664</v>
      </c>
      <c r="M108" s="49"/>
      <c r="N108" s="246" t="str">
        <f>IF(C108="","",'OPĆI DIO'!$C$1)</f>
        <v>48267 SVEUČILIŠTE SJEVER</v>
      </c>
      <c r="O108" s="40" t="str">
        <f t="shared" si="18"/>
        <v>324</v>
      </c>
      <c r="P108" s="40" t="str">
        <f t="shared" si="19"/>
        <v>32</v>
      </c>
      <c r="Q108" s="40" t="str">
        <f t="shared" si="20"/>
        <v>52</v>
      </c>
      <c r="R108" s="40" t="str">
        <f t="shared" si="21"/>
        <v>94</v>
      </c>
      <c r="S108" s="40" t="str">
        <f t="shared" si="22"/>
        <v>3</v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>08006</v>
      </c>
      <c r="B109" s="44" t="str">
        <f>IF(C109="","",VLOOKUP('OPĆI DIO'!$C$1,'OPĆI DIO'!$N$4:$W$137,9,FALSE))</f>
        <v>Sveučilišta i veleučilišta u Republici Hrvatskoj</v>
      </c>
      <c r="C109" s="50">
        <v>52</v>
      </c>
      <c r="D109" s="45" t="str">
        <f t="shared" si="14"/>
        <v>Ostale pomoći</v>
      </c>
      <c r="E109" s="326">
        <v>3721</v>
      </c>
      <c r="F109" s="45" t="str">
        <f t="shared" si="15"/>
        <v>Naknade građanima i kućanstvima u novcu</v>
      </c>
      <c r="G109" s="327" t="s">
        <v>193</v>
      </c>
      <c r="H109" s="45" t="str">
        <f t="shared" si="16"/>
        <v>REDOVNA DJELATNOST SVEUČILIŠTA SJEVER (IZ EVIDENCIJSKIH PRIHODA)</v>
      </c>
      <c r="I109" s="45" t="str">
        <f t="shared" si="17"/>
        <v>0942</v>
      </c>
      <c r="J109" s="224">
        <v>1500</v>
      </c>
      <c r="K109" s="224">
        <v>0</v>
      </c>
      <c r="L109" s="224">
        <v>0</v>
      </c>
      <c r="M109" s="49"/>
      <c r="N109" s="246" t="str">
        <f>IF(C109="","",'OPĆI DIO'!$C$1)</f>
        <v>48267 SVEUČILIŠTE SJEVER</v>
      </c>
      <c r="O109" s="40" t="str">
        <f t="shared" si="18"/>
        <v>372</v>
      </c>
      <c r="P109" s="40" t="str">
        <f t="shared" si="19"/>
        <v>37</v>
      </c>
      <c r="Q109" s="40" t="str">
        <f t="shared" si="20"/>
        <v>52</v>
      </c>
      <c r="R109" s="40" t="str">
        <f t="shared" si="21"/>
        <v>94</v>
      </c>
      <c r="S109" s="40" t="str">
        <f t="shared" si="22"/>
        <v>3</v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>08006</v>
      </c>
      <c r="B110" s="44" t="str">
        <f>IF(C110="","",VLOOKUP('OPĆI DIO'!$C$1,'OPĆI DIO'!$N$4:$W$137,9,FALSE))</f>
        <v>Sveučilišta i veleučilišta u Republici Hrvatskoj</v>
      </c>
      <c r="C110" s="50">
        <v>52</v>
      </c>
      <c r="D110" s="45" t="str">
        <f t="shared" si="14"/>
        <v>Ostale pomoći</v>
      </c>
      <c r="E110" s="50">
        <v>4227</v>
      </c>
      <c r="F110" s="45" t="str">
        <f t="shared" si="15"/>
        <v>Uređaji, strojevi i oprema za ostale namjene</v>
      </c>
      <c r="G110" s="327" t="s">
        <v>193</v>
      </c>
      <c r="H110" s="45" t="str">
        <f t="shared" si="16"/>
        <v>REDOVNA DJELATNOST SVEUČILIŠTA SJEVER (IZ EVIDENCIJSKIH PRIHODA)</v>
      </c>
      <c r="I110" s="45" t="str">
        <f t="shared" si="17"/>
        <v>0942</v>
      </c>
      <c r="J110" s="224">
        <v>4210</v>
      </c>
      <c r="K110" s="224">
        <v>0</v>
      </c>
      <c r="L110" s="224">
        <v>0</v>
      </c>
      <c r="M110" s="49"/>
      <c r="N110" s="246" t="str">
        <f>IF(C110="","",'OPĆI DIO'!$C$1)</f>
        <v>48267 SVEUČILIŠTE SJEVER</v>
      </c>
      <c r="O110" s="40" t="str">
        <f t="shared" si="18"/>
        <v>422</v>
      </c>
      <c r="P110" s="40" t="str">
        <f t="shared" si="19"/>
        <v>42</v>
      </c>
      <c r="Q110" s="40" t="str">
        <f t="shared" si="20"/>
        <v>52</v>
      </c>
      <c r="R110" s="40" t="str">
        <f t="shared" si="21"/>
        <v>94</v>
      </c>
      <c r="S110" s="40" t="str">
        <f t="shared" si="22"/>
        <v>4</v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>08006</v>
      </c>
      <c r="B111" s="44" t="str">
        <f>IF(C111="","",VLOOKUP('OPĆI DIO'!$C$1,'OPĆI DIO'!$N$4:$W$137,9,FALSE))</f>
        <v>Sveučilišta i veleučilišta u Republici Hrvatskoj</v>
      </c>
      <c r="C111" s="50">
        <v>52</v>
      </c>
      <c r="D111" s="45" t="str">
        <f t="shared" si="14"/>
        <v>Ostale pomoći</v>
      </c>
      <c r="E111" s="50">
        <v>3121</v>
      </c>
      <c r="F111" s="45" t="str">
        <f t="shared" si="15"/>
        <v>Ostali rashodi za zaposlene</v>
      </c>
      <c r="G111" s="327" t="s">
        <v>193</v>
      </c>
      <c r="H111" s="45" t="str">
        <f t="shared" si="16"/>
        <v>REDOVNA DJELATNOST SVEUČILIŠTA SJEVER (IZ EVIDENCIJSKIH PRIHODA)</v>
      </c>
      <c r="I111" s="45" t="str">
        <f t="shared" si="17"/>
        <v>0942</v>
      </c>
      <c r="J111" s="81">
        <f>300+232</f>
        <v>532</v>
      </c>
      <c r="K111" s="81">
        <v>532</v>
      </c>
      <c r="L111" s="81">
        <v>300</v>
      </c>
      <c r="M111" s="49"/>
      <c r="N111" s="246" t="str">
        <f>IF(C111="","",'OPĆI DIO'!$C$1)</f>
        <v>48267 SVEUČILIŠTE SJEVER</v>
      </c>
      <c r="O111" s="40" t="str">
        <f t="shared" si="18"/>
        <v>312</v>
      </c>
      <c r="P111" s="40" t="str">
        <f t="shared" si="19"/>
        <v>31</v>
      </c>
      <c r="Q111" s="40" t="str">
        <f t="shared" si="20"/>
        <v>52</v>
      </c>
      <c r="R111" s="40" t="str">
        <f t="shared" si="21"/>
        <v>94</v>
      </c>
      <c r="S111" s="40" t="str">
        <f t="shared" si="22"/>
        <v>3</v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>08006</v>
      </c>
      <c r="B112" s="44" t="str">
        <f>IF(C112="","",VLOOKUP('OPĆI DIO'!$C$1,'OPĆI DIO'!$N$4:$W$137,9,FALSE))</f>
        <v>Sveučilišta i veleučilišta u Republici Hrvatskoj</v>
      </c>
      <c r="C112" s="50">
        <v>52</v>
      </c>
      <c r="D112" s="45" t="str">
        <f t="shared" si="14"/>
        <v>Ostale pomoći</v>
      </c>
      <c r="E112" s="50">
        <v>3225</v>
      </c>
      <c r="F112" s="45" t="str">
        <f t="shared" si="15"/>
        <v>Sitni inventar i auto gume</v>
      </c>
      <c r="G112" s="327" t="s">
        <v>193</v>
      </c>
      <c r="H112" s="45" t="str">
        <f t="shared" si="16"/>
        <v>REDOVNA DJELATNOST SVEUČILIŠTA SJEVER (IZ EVIDENCIJSKIH PRIHODA)</v>
      </c>
      <c r="I112" s="45" t="str">
        <f t="shared" si="17"/>
        <v>0942</v>
      </c>
      <c r="J112" s="81">
        <v>1000</v>
      </c>
      <c r="K112" s="81">
        <v>1000</v>
      </c>
      <c r="L112" s="81">
        <v>1000</v>
      </c>
      <c r="M112" s="49"/>
      <c r="N112" s="246" t="str">
        <f>IF(C112="","",'OPĆI DIO'!$C$1)</f>
        <v>48267 SVEUČILIŠTE SJEVER</v>
      </c>
      <c r="O112" s="40" t="str">
        <f t="shared" si="18"/>
        <v>322</v>
      </c>
      <c r="P112" s="40" t="str">
        <f t="shared" si="19"/>
        <v>32</v>
      </c>
      <c r="Q112" s="40" t="str">
        <f t="shared" si="20"/>
        <v>52</v>
      </c>
      <c r="R112" s="40" t="str">
        <f t="shared" si="21"/>
        <v>94</v>
      </c>
      <c r="S112" s="40" t="str">
        <f t="shared" si="22"/>
        <v>3</v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>08006</v>
      </c>
      <c r="B113" s="44" t="str">
        <f>IF(C113="","",VLOOKUP('OPĆI DIO'!$C$1,'OPĆI DIO'!$N$4:$W$137,9,FALSE))</f>
        <v>Sveučilišta i veleučilišta u Republici Hrvatskoj</v>
      </c>
      <c r="C113" s="50">
        <v>52</v>
      </c>
      <c r="D113" s="45" t="str">
        <f t="shared" si="14"/>
        <v>Ostale pomoći</v>
      </c>
      <c r="E113" s="50">
        <v>3232</v>
      </c>
      <c r="F113" s="45" t="str">
        <f t="shared" si="15"/>
        <v>Usluge tekućeg i investicijskog održavanja</v>
      </c>
      <c r="G113" s="327" t="s">
        <v>193</v>
      </c>
      <c r="H113" s="45" t="str">
        <f t="shared" si="16"/>
        <v>REDOVNA DJELATNOST SVEUČILIŠTA SJEVER (IZ EVIDENCIJSKIH PRIHODA)</v>
      </c>
      <c r="I113" s="45" t="str">
        <f t="shared" si="17"/>
        <v>0942</v>
      </c>
      <c r="J113" s="81">
        <v>664</v>
      </c>
      <c r="K113" s="81">
        <v>0</v>
      </c>
      <c r="L113" s="81">
        <v>2700</v>
      </c>
      <c r="M113" s="49"/>
      <c r="N113" s="246" t="str">
        <f>IF(C113="","",'OPĆI DIO'!$C$1)</f>
        <v>48267 SVEUČILIŠTE SJEVER</v>
      </c>
      <c r="O113" s="40" t="str">
        <f t="shared" si="18"/>
        <v>323</v>
      </c>
      <c r="P113" s="40" t="str">
        <f t="shared" si="19"/>
        <v>32</v>
      </c>
      <c r="Q113" s="40" t="str">
        <f t="shared" si="20"/>
        <v>52</v>
      </c>
      <c r="R113" s="40" t="str">
        <f t="shared" si="21"/>
        <v>94</v>
      </c>
      <c r="S113" s="40" t="str">
        <f t="shared" si="22"/>
        <v>3</v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4"/>
        <v/>
      </c>
      <c r="E114" s="50"/>
      <c r="F114" s="45" t="str">
        <f t="shared" si="15"/>
        <v/>
      </c>
      <c r="G114" s="327"/>
      <c r="H114" s="45" t="str">
        <f t="shared" si="16"/>
        <v/>
      </c>
      <c r="I114" s="45" t="str">
        <f t="shared" si="17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18"/>
        <v/>
      </c>
      <c r="P114" s="40" t="str">
        <f t="shared" si="19"/>
        <v/>
      </c>
      <c r="Q114" s="40" t="str">
        <f t="shared" si="20"/>
        <v/>
      </c>
      <c r="R114" s="40" t="str">
        <f t="shared" si="21"/>
        <v/>
      </c>
      <c r="S114" s="40" t="str">
        <f t="shared" si="22"/>
        <v/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4"/>
        <v/>
      </c>
      <c r="E115" s="50"/>
      <c r="F115" s="45" t="str">
        <f t="shared" si="15"/>
        <v/>
      </c>
      <c r="G115" s="327"/>
      <c r="H115" s="45" t="str">
        <f t="shared" si="16"/>
        <v/>
      </c>
      <c r="I115" s="45" t="str">
        <f t="shared" si="17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18"/>
        <v/>
      </c>
      <c r="P115" s="40" t="str">
        <f t="shared" si="19"/>
        <v/>
      </c>
      <c r="Q115" s="40" t="str">
        <f t="shared" si="20"/>
        <v/>
      </c>
      <c r="R115" s="40" t="str">
        <f t="shared" si="21"/>
        <v/>
      </c>
      <c r="S115" s="40" t="str">
        <f t="shared" si="22"/>
        <v/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4"/>
        <v/>
      </c>
      <c r="E116" s="50"/>
      <c r="F116" s="45" t="str">
        <f t="shared" si="15"/>
        <v/>
      </c>
      <c r="G116" s="82"/>
      <c r="H116" s="45" t="str">
        <f t="shared" si="16"/>
        <v/>
      </c>
      <c r="I116" s="45" t="str">
        <f t="shared" si="17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18"/>
        <v/>
      </c>
      <c r="P116" s="40" t="str">
        <f t="shared" si="19"/>
        <v/>
      </c>
      <c r="Q116" s="40" t="str">
        <f t="shared" si="20"/>
        <v/>
      </c>
      <c r="R116" s="40" t="str">
        <f t="shared" si="21"/>
        <v/>
      </c>
      <c r="S116" s="40" t="str">
        <f t="shared" si="22"/>
        <v/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5"/>
        <v/>
      </c>
      <c r="G117" s="82"/>
      <c r="H117" s="45" t="str">
        <f t="shared" si="16"/>
        <v/>
      </c>
      <c r="I117" s="45" t="str">
        <f t="shared" si="17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8"/>
        <v/>
      </c>
      <c r="P117" s="40" t="str">
        <f t="shared" si="19"/>
        <v/>
      </c>
      <c r="Q117" s="40" t="str">
        <f t="shared" si="20"/>
        <v/>
      </c>
      <c r="R117" s="40" t="str">
        <f t="shared" si="21"/>
        <v/>
      </c>
      <c r="S117" s="40" t="str">
        <f t="shared" si="22"/>
        <v/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>08006</v>
      </c>
      <c r="B118" s="44" t="str">
        <f>IF(C118="","",VLOOKUP('OPĆI DIO'!$C$1,'OPĆI DIO'!$N$4:$W$137,9,FALSE))</f>
        <v>Sveučilišta i veleučilišta u Republici Hrvatskoj</v>
      </c>
      <c r="C118" s="50">
        <v>61</v>
      </c>
      <c r="D118" s="45" t="str">
        <f t="shared" si="14"/>
        <v>Donacije</v>
      </c>
      <c r="E118" s="50">
        <v>3231</v>
      </c>
      <c r="F118" s="45" t="str">
        <f t="shared" si="15"/>
        <v>Usluge telefona, pošte i prijevoza</v>
      </c>
      <c r="G118" s="327" t="s">
        <v>193</v>
      </c>
      <c r="H118" s="45" t="str">
        <f t="shared" si="16"/>
        <v>REDOVNA DJELATNOST SVEUČILIŠTA SJEVER (IZ EVIDENCIJSKIH PRIHODA)</v>
      </c>
      <c r="I118" s="45" t="str">
        <f t="shared" si="17"/>
        <v>0942</v>
      </c>
      <c r="J118" s="81">
        <v>5000</v>
      </c>
      <c r="K118" s="81">
        <v>6000</v>
      </c>
      <c r="L118" s="81">
        <v>8000</v>
      </c>
      <c r="M118" s="49"/>
      <c r="N118" s="246" t="str">
        <f>IF(C118="","",'OPĆI DIO'!$C$1)</f>
        <v>48267 SVEUČILIŠTE SJEVER</v>
      </c>
      <c r="O118" s="40" t="str">
        <f t="shared" si="18"/>
        <v>323</v>
      </c>
      <c r="P118" s="40" t="str">
        <f t="shared" si="19"/>
        <v>32</v>
      </c>
      <c r="Q118" s="40" t="str">
        <f t="shared" si="20"/>
        <v>61</v>
      </c>
      <c r="R118" s="40" t="str">
        <f t="shared" si="21"/>
        <v>94</v>
      </c>
      <c r="S118" s="40" t="str">
        <f t="shared" si="22"/>
        <v>3</v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>08006</v>
      </c>
      <c r="B119" s="44" t="str">
        <f>IF(C119="","",VLOOKUP('OPĆI DIO'!$C$1,'OPĆI DIO'!$N$4:$W$137,9,FALSE))</f>
        <v>Sveučilišta i veleučilišta u Republici Hrvatskoj</v>
      </c>
      <c r="C119" s="50">
        <v>61</v>
      </c>
      <c r="D119" s="45" t="str">
        <f t="shared" si="14"/>
        <v>Donacije</v>
      </c>
      <c r="E119" s="50">
        <v>3239</v>
      </c>
      <c r="F119" s="45" t="str">
        <f t="shared" si="15"/>
        <v>Ostale usluge</v>
      </c>
      <c r="G119" s="327" t="s">
        <v>193</v>
      </c>
      <c r="H119" s="45" t="str">
        <f t="shared" si="16"/>
        <v>REDOVNA DJELATNOST SVEUČILIŠTA SJEVER (IZ EVIDENCIJSKIH PRIHODA)</v>
      </c>
      <c r="I119" s="45" t="str">
        <f t="shared" si="17"/>
        <v>0942</v>
      </c>
      <c r="J119" s="81">
        <v>15000</v>
      </c>
      <c r="K119" s="81">
        <v>20000</v>
      </c>
      <c r="L119" s="81">
        <v>25000</v>
      </c>
      <c r="M119" s="49"/>
      <c r="N119" s="246" t="str">
        <f>IF(C119="","",'OPĆI DIO'!$C$1)</f>
        <v>48267 SVEUČILIŠTE SJEVER</v>
      </c>
      <c r="O119" s="40" t="str">
        <f t="shared" si="18"/>
        <v>323</v>
      </c>
      <c r="P119" s="40" t="str">
        <f t="shared" si="19"/>
        <v>32</v>
      </c>
      <c r="Q119" s="40" t="str">
        <f t="shared" si="20"/>
        <v>61</v>
      </c>
      <c r="R119" s="40" t="str">
        <f t="shared" si="21"/>
        <v>94</v>
      </c>
      <c r="S119" s="40" t="str">
        <f t="shared" si="22"/>
        <v>3</v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>08006</v>
      </c>
      <c r="B120" s="44" t="str">
        <f>IF(C120="","",VLOOKUP('OPĆI DIO'!$C$1,'OPĆI DIO'!$N$4:$W$137,9,FALSE))</f>
        <v>Sveučilišta i veleučilišta u Republici Hrvatskoj</v>
      </c>
      <c r="C120" s="50">
        <v>61</v>
      </c>
      <c r="D120" s="45" t="str">
        <f t="shared" si="14"/>
        <v>Donacije</v>
      </c>
      <c r="E120" s="50">
        <v>3299</v>
      </c>
      <c r="F120" s="45" t="str">
        <f t="shared" si="15"/>
        <v>Ostali nespomenuti rashodi poslovanja</v>
      </c>
      <c r="G120" s="327" t="s">
        <v>193</v>
      </c>
      <c r="H120" s="45" t="str">
        <f t="shared" si="16"/>
        <v>REDOVNA DJELATNOST SVEUČILIŠTA SJEVER (IZ EVIDENCIJSKIH PRIHODA)</v>
      </c>
      <c r="I120" s="45" t="str">
        <f t="shared" si="17"/>
        <v>0942</v>
      </c>
      <c r="J120" s="81">
        <v>7000</v>
      </c>
      <c r="K120" s="81">
        <v>10000</v>
      </c>
      <c r="L120" s="81">
        <v>10000</v>
      </c>
      <c r="M120" s="49"/>
      <c r="N120" s="246" t="str">
        <f>IF(C120="","",'OPĆI DIO'!$C$1)</f>
        <v>48267 SVEUČILIŠTE SJEVER</v>
      </c>
      <c r="O120" s="40" t="str">
        <f t="shared" si="18"/>
        <v>329</v>
      </c>
      <c r="P120" s="40" t="str">
        <f t="shared" si="19"/>
        <v>32</v>
      </c>
      <c r="Q120" s="40" t="str">
        <f t="shared" si="20"/>
        <v>61</v>
      </c>
      <c r="R120" s="40" t="str">
        <f t="shared" si="21"/>
        <v>94</v>
      </c>
      <c r="S120" s="40" t="str">
        <f t="shared" si="22"/>
        <v>3</v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>08006</v>
      </c>
      <c r="B121" s="44" t="str">
        <f>IF(C121="","",VLOOKUP('OPĆI DIO'!$C$1,'OPĆI DIO'!$N$4:$W$137,9,FALSE))</f>
        <v>Sveučilišta i veleučilišta u Republici Hrvatskoj</v>
      </c>
      <c r="C121" s="50">
        <v>61</v>
      </c>
      <c r="D121" s="45" t="str">
        <f t="shared" si="14"/>
        <v>Donacije</v>
      </c>
      <c r="E121" s="50">
        <v>4241</v>
      </c>
      <c r="F121" s="45" t="str">
        <f t="shared" si="15"/>
        <v>Knjige</v>
      </c>
      <c r="G121" s="327" t="s">
        <v>193</v>
      </c>
      <c r="H121" s="45" t="str">
        <f t="shared" si="16"/>
        <v>REDOVNA DJELATNOST SVEUČILIŠTA SJEVER (IZ EVIDENCIJSKIH PRIHODA)</v>
      </c>
      <c r="I121" s="45" t="str">
        <f t="shared" si="17"/>
        <v>0942</v>
      </c>
      <c r="J121" s="81">
        <v>5000</v>
      </c>
      <c r="K121" s="81">
        <v>7000</v>
      </c>
      <c r="L121" s="81">
        <v>10000</v>
      </c>
      <c r="M121" s="49"/>
      <c r="N121" s="246" t="str">
        <f>IF(C121="","",'OPĆI DIO'!$C$1)</f>
        <v>48267 SVEUČILIŠTE SJEVER</v>
      </c>
      <c r="O121" s="40" t="str">
        <f t="shared" si="18"/>
        <v>424</v>
      </c>
      <c r="P121" s="40" t="str">
        <f t="shared" si="19"/>
        <v>42</v>
      </c>
      <c r="Q121" s="40" t="str">
        <f t="shared" si="20"/>
        <v>61</v>
      </c>
      <c r="R121" s="40" t="str">
        <f t="shared" si="21"/>
        <v>94</v>
      </c>
      <c r="S121" s="40" t="str">
        <f t="shared" si="22"/>
        <v>4</v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5"/>
        <v/>
      </c>
      <c r="G122" s="82"/>
      <c r="H122" s="45" t="str">
        <f t="shared" si="16"/>
        <v/>
      </c>
      <c r="I122" s="45" t="str">
        <f t="shared" si="17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18"/>
        <v/>
      </c>
      <c r="P122" s="40" t="str">
        <f t="shared" si="19"/>
        <v/>
      </c>
      <c r="Q122" s="40" t="str">
        <f t="shared" si="20"/>
        <v/>
      </c>
      <c r="R122" s="40" t="str">
        <f t="shared" si="21"/>
        <v/>
      </c>
      <c r="S122" s="40" t="str">
        <f t="shared" si="22"/>
        <v/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5"/>
        <v/>
      </c>
      <c r="G123" s="82"/>
      <c r="H123" s="45" t="str">
        <f t="shared" si="16"/>
        <v/>
      </c>
      <c r="I123" s="45" t="str">
        <f t="shared" si="17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8"/>
        <v/>
      </c>
      <c r="P123" s="40" t="str">
        <f t="shared" si="19"/>
        <v/>
      </c>
      <c r="Q123" s="40" t="str">
        <f t="shared" si="20"/>
        <v/>
      </c>
      <c r="R123" s="40" t="str">
        <f t="shared" si="21"/>
        <v/>
      </c>
      <c r="S123" s="40" t="str">
        <f t="shared" si="22"/>
        <v/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>08006</v>
      </c>
      <c r="B124" s="44" t="str">
        <f>IF(C124="","",VLOOKUP('OPĆI DIO'!$C$1,'OPĆI DIO'!$N$4:$W$137,9,FALSE))</f>
        <v>Sveučilišta i veleučilišta u Republici Hrvatskoj</v>
      </c>
      <c r="C124" s="50">
        <v>71</v>
      </c>
      <c r="D124" s="45" t="str">
        <f t="shared" si="14"/>
        <v>Prihodi od nefin. imovine i nadoknade štete s osnova osig.</v>
      </c>
      <c r="E124" s="50">
        <v>4227</v>
      </c>
      <c r="F124" s="45" t="str">
        <f t="shared" si="15"/>
        <v>Uređaji, strojevi i oprema za ostale namjene</v>
      </c>
      <c r="G124" s="327" t="s">
        <v>193</v>
      </c>
      <c r="H124" s="45" t="str">
        <f t="shared" si="16"/>
        <v>REDOVNA DJELATNOST SVEUČILIŠTA SJEVER (IZ EVIDENCIJSKIH PRIHODA)</v>
      </c>
      <c r="I124" s="45" t="str">
        <f t="shared" si="17"/>
        <v>0942</v>
      </c>
      <c r="J124" s="81">
        <v>2654</v>
      </c>
      <c r="K124" s="81">
        <v>2654</v>
      </c>
      <c r="L124" s="81">
        <v>2654</v>
      </c>
      <c r="M124" s="49"/>
      <c r="N124" s="246" t="str">
        <f>IF(C124="","",'OPĆI DIO'!$C$1)</f>
        <v>48267 SVEUČILIŠTE SJEVER</v>
      </c>
      <c r="O124" s="40" t="str">
        <f t="shared" si="18"/>
        <v>422</v>
      </c>
      <c r="P124" s="40" t="str">
        <f t="shared" si="19"/>
        <v>42</v>
      </c>
      <c r="Q124" s="40" t="str">
        <f t="shared" si="20"/>
        <v>71</v>
      </c>
      <c r="R124" s="40" t="str">
        <f t="shared" si="21"/>
        <v>94</v>
      </c>
      <c r="S124" s="40" t="str">
        <f t="shared" si="22"/>
        <v>4</v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5"/>
        <v/>
      </c>
      <c r="G125" s="82"/>
      <c r="H125" s="45" t="str">
        <f t="shared" si="16"/>
        <v/>
      </c>
      <c r="I125" s="45" t="str">
        <f t="shared" si="17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8"/>
        <v/>
      </c>
      <c r="P125" s="40" t="str">
        <f t="shared" si="19"/>
        <v/>
      </c>
      <c r="Q125" s="40" t="str">
        <f t="shared" si="20"/>
        <v/>
      </c>
      <c r="R125" s="40" t="str">
        <f t="shared" si="21"/>
        <v/>
      </c>
      <c r="S125" s="40" t="str">
        <f t="shared" si="22"/>
        <v/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5"/>
        <v/>
      </c>
      <c r="G126" s="82"/>
      <c r="H126" s="45" t="str">
        <f t="shared" si="16"/>
        <v/>
      </c>
      <c r="I126" s="45" t="str">
        <f t="shared" si="17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8"/>
        <v/>
      </c>
      <c r="P126" s="40" t="str">
        <f t="shared" si="19"/>
        <v/>
      </c>
      <c r="Q126" s="40" t="str">
        <f t="shared" si="20"/>
        <v/>
      </c>
      <c r="R126" s="40" t="str">
        <f t="shared" si="21"/>
        <v/>
      </c>
      <c r="S126" s="40" t="str">
        <f t="shared" si="22"/>
        <v/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5"/>
        <v/>
      </c>
      <c r="G127" s="82"/>
      <c r="H127" s="45" t="str">
        <f t="shared" si="16"/>
        <v/>
      </c>
      <c r="I127" s="45" t="str">
        <f t="shared" si="17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18"/>
        <v/>
      </c>
      <c r="P127" s="40" t="str">
        <f t="shared" si="19"/>
        <v/>
      </c>
      <c r="Q127" s="40" t="str">
        <f t="shared" si="20"/>
        <v/>
      </c>
      <c r="R127" s="40" t="str">
        <f t="shared" si="21"/>
        <v/>
      </c>
      <c r="S127" s="40" t="str">
        <f t="shared" si="22"/>
        <v/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5"/>
        <v/>
      </c>
      <c r="G128" s="82"/>
      <c r="H128" s="45" t="str">
        <f t="shared" si="16"/>
        <v/>
      </c>
      <c r="I128" s="45" t="str">
        <f t="shared" si="17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8"/>
        <v/>
      </c>
      <c r="P128" s="40" t="str">
        <f t="shared" si="19"/>
        <v/>
      </c>
      <c r="Q128" s="40" t="str">
        <f t="shared" si="20"/>
        <v/>
      </c>
      <c r="R128" s="40" t="str">
        <f t="shared" si="21"/>
        <v/>
      </c>
      <c r="S128" s="40" t="str">
        <f t="shared" si="22"/>
        <v/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5"/>
        <v/>
      </c>
      <c r="G129" s="82"/>
      <c r="H129" s="45" t="str">
        <f t="shared" si="16"/>
        <v/>
      </c>
      <c r="I129" s="45" t="str">
        <f t="shared" si="17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8"/>
        <v/>
      </c>
      <c r="P129" s="40" t="str">
        <f t="shared" si="19"/>
        <v/>
      </c>
      <c r="Q129" s="40" t="str">
        <f t="shared" si="20"/>
        <v/>
      </c>
      <c r="R129" s="40" t="str">
        <f t="shared" si="21"/>
        <v/>
      </c>
      <c r="S129" s="40" t="str">
        <f t="shared" si="22"/>
        <v/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5"/>
        <v/>
      </c>
      <c r="G130" s="82"/>
      <c r="H130" s="45" t="str">
        <f t="shared" si="16"/>
        <v/>
      </c>
      <c r="I130" s="45" t="str">
        <f t="shared" si="17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8"/>
        <v/>
      </c>
      <c r="P130" s="40" t="str">
        <f t="shared" si="19"/>
        <v/>
      </c>
      <c r="Q130" s="40" t="str">
        <f t="shared" si="20"/>
        <v/>
      </c>
      <c r="R130" s="40" t="str">
        <f t="shared" si="21"/>
        <v/>
      </c>
      <c r="S130" s="40" t="str">
        <f t="shared" si="22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29">IFERROR(VLOOKUP(C131,$T$6:$U$24,2,FALSE),"")</f>
        <v/>
      </c>
      <c r="E131" s="50"/>
      <c r="F131" s="45" t="str">
        <f t="shared" si="15"/>
        <v/>
      </c>
      <c r="G131" s="82"/>
      <c r="H131" s="45" t="str">
        <f t="shared" si="16"/>
        <v/>
      </c>
      <c r="I131" s="45" t="str">
        <f t="shared" si="17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8"/>
        <v/>
      </c>
      <c r="P131" s="40" t="str">
        <f t="shared" si="19"/>
        <v/>
      </c>
      <c r="Q131" s="40" t="str">
        <f t="shared" si="20"/>
        <v/>
      </c>
      <c r="R131" s="40" t="str">
        <f t="shared" si="21"/>
        <v/>
      </c>
      <c r="S131" s="40" t="str">
        <f t="shared" si="22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29"/>
        <v/>
      </c>
      <c r="E132" s="50"/>
      <c r="F132" s="45" t="str">
        <f t="shared" ref="F132:F195" si="30">IFERROR(VLOOKUP(E132,$W$5:$Y$129,2,FALSE),"")</f>
        <v/>
      </c>
      <c r="G132" s="82"/>
      <c r="H132" s="45" t="str">
        <f t="shared" ref="H132:H195" si="31">IFERROR(VLOOKUP(G132,$AC$6:$AD$344,2,FALSE),"")</f>
        <v/>
      </c>
      <c r="I132" s="45" t="str">
        <f t="shared" ref="I132:I195" si="32">IFERROR(VLOOKUP(G132,$AC$6:$AG$344,3,FALSE),"")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3">LEFT(E132,3)</f>
        <v/>
      </c>
      <c r="P132" s="40" t="str">
        <f t="shared" ref="P132:P195" si="34">LEFT(E132,2)</f>
        <v/>
      </c>
      <c r="Q132" s="40" t="str">
        <f t="shared" ref="Q132:Q195" si="35">LEFT(C132,3)</f>
        <v/>
      </c>
      <c r="R132" s="40" t="str">
        <f t="shared" ref="R132:R195" si="36">MID(I132,2,2)</f>
        <v/>
      </c>
      <c r="S132" s="40" t="str">
        <f t="shared" ref="S132:S195" si="37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30"/>
        <v/>
      </c>
      <c r="G133" s="82"/>
      <c r="H133" s="45" t="str">
        <f t="shared" si="31"/>
        <v/>
      </c>
      <c r="I133" s="45" t="str">
        <f t="shared" si="32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3"/>
        <v/>
      </c>
      <c r="P133" s="40" t="str">
        <f t="shared" si="34"/>
        <v/>
      </c>
      <c r="Q133" s="40" t="str">
        <f t="shared" si="35"/>
        <v/>
      </c>
      <c r="R133" s="40" t="str">
        <f t="shared" si="36"/>
        <v/>
      </c>
      <c r="S133" s="40" t="str">
        <f t="shared" si="37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30"/>
        <v/>
      </c>
      <c r="G134" s="82"/>
      <c r="H134" s="45" t="str">
        <f t="shared" si="31"/>
        <v/>
      </c>
      <c r="I134" s="45" t="str">
        <f t="shared" si="32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3"/>
        <v/>
      </c>
      <c r="P134" s="40" t="str">
        <f t="shared" si="34"/>
        <v/>
      </c>
      <c r="Q134" s="40" t="str">
        <f t="shared" si="35"/>
        <v/>
      </c>
      <c r="R134" s="40" t="str">
        <f t="shared" si="36"/>
        <v/>
      </c>
      <c r="S134" s="40" t="str">
        <f t="shared" si="37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30"/>
        <v/>
      </c>
      <c r="G135" s="82"/>
      <c r="H135" s="45" t="str">
        <f t="shared" si="31"/>
        <v/>
      </c>
      <c r="I135" s="45" t="str">
        <f t="shared" si="32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3"/>
        <v/>
      </c>
      <c r="P135" s="40" t="str">
        <f t="shared" si="34"/>
        <v/>
      </c>
      <c r="Q135" s="40" t="str">
        <f t="shared" si="35"/>
        <v/>
      </c>
      <c r="R135" s="40" t="str">
        <f t="shared" si="36"/>
        <v/>
      </c>
      <c r="S135" s="40" t="str">
        <f t="shared" si="37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30"/>
        <v/>
      </c>
      <c r="G136" s="82"/>
      <c r="H136" s="45" t="str">
        <f t="shared" si="31"/>
        <v/>
      </c>
      <c r="I136" s="45" t="str">
        <f t="shared" si="32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3"/>
        <v/>
      </c>
      <c r="P136" s="40" t="str">
        <f t="shared" si="34"/>
        <v/>
      </c>
      <c r="Q136" s="40" t="str">
        <f t="shared" si="35"/>
        <v/>
      </c>
      <c r="R136" s="40" t="str">
        <f t="shared" si="36"/>
        <v/>
      </c>
      <c r="S136" s="40" t="str">
        <f t="shared" si="37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30"/>
        <v/>
      </c>
      <c r="G137" s="82"/>
      <c r="H137" s="45" t="str">
        <f t="shared" si="31"/>
        <v/>
      </c>
      <c r="I137" s="45" t="str">
        <f t="shared" si="32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3"/>
        <v/>
      </c>
      <c r="P137" s="40" t="str">
        <f t="shared" si="34"/>
        <v/>
      </c>
      <c r="Q137" s="40" t="str">
        <f t="shared" si="35"/>
        <v/>
      </c>
      <c r="R137" s="40" t="str">
        <f t="shared" si="36"/>
        <v/>
      </c>
      <c r="S137" s="40" t="str">
        <f t="shared" si="37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30"/>
        <v/>
      </c>
      <c r="G138" s="82"/>
      <c r="H138" s="45" t="str">
        <f t="shared" si="31"/>
        <v/>
      </c>
      <c r="I138" s="45" t="str">
        <f t="shared" si="32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3"/>
        <v/>
      </c>
      <c r="P138" s="40" t="str">
        <f t="shared" si="34"/>
        <v/>
      </c>
      <c r="Q138" s="40" t="str">
        <f t="shared" si="35"/>
        <v/>
      </c>
      <c r="R138" s="40" t="str">
        <f t="shared" si="36"/>
        <v/>
      </c>
      <c r="S138" s="40" t="str">
        <f t="shared" si="37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30"/>
        <v/>
      </c>
      <c r="G139" s="82"/>
      <c r="H139" s="45" t="str">
        <f t="shared" si="31"/>
        <v/>
      </c>
      <c r="I139" s="45" t="str">
        <f t="shared" si="32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3"/>
        <v/>
      </c>
      <c r="P139" s="40" t="str">
        <f t="shared" si="34"/>
        <v/>
      </c>
      <c r="Q139" s="40" t="str">
        <f t="shared" si="35"/>
        <v/>
      </c>
      <c r="R139" s="40" t="str">
        <f t="shared" si="36"/>
        <v/>
      </c>
      <c r="S139" s="40" t="str">
        <f t="shared" si="37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30"/>
        <v/>
      </c>
      <c r="G140" s="82"/>
      <c r="H140" s="45" t="str">
        <f t="shared" si="31"/>
        <v/>
      </c>
      <c r="I140" s="45" t="str">
        <f t="shared" si="32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3"/>
        <v/>
      </c>
      <c r="P140" s="40" t="str">
        <f t="shared" si="34"/>
        <v/>
      </c>
      <c r="Q140" s="40" t="str">
        <f t="shared" si="35"/>
        <v/>
      </c>
      <c r="R140" s="40" t="str">
        <f t="shared" si="36"/>
        <v/>
      </c>
      <c r="S140" s="40" t="str">
        <f t="shared" si="37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30"/>
        <v/>
      </c>
      <c r="G141" s="82"/>
      <c r="H141" s="45" t="str">
        <f t="shared" si="31"/>
        <v/>
      </c>
      <c r="I141" s="45" t="str">
        <f t="shared" si="32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3"/>
        <v/>
      </c>
      <c r="P141" s="40" t="str">
        <f t="shared" si="34"/>
        <v/>
      </c>
      <c r="Q141" s="40" t="str">
        <f t="shared" si="35"/>
        <v/>
      </c>
      <c r="R141" s="40" t="str">
        <f t="shared" si="36"/>
        <v/>
      </c>
      <c r="S141" s="40" t="str">
        <f t="shared" si="37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30"/>
        <v/>
      </c>
      <c r="G142" s="82"/>
      <c r="H142" s="45" t="str">
        <f t="shared" si="31"/>
        <v/>
      </c>
      <c r="I142" s="45" t="str">
        <f t="shared" si="32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3"/>
        <v/>
      </c>
      <c r="P142" s="40" t="str">
        <f t="shared" si="34"/>
        <v/>
      </c>
      <c r="Q142" s="40" t="str">
        <f t="shared" si="35"/>
        <v/>
      </c>
      <c r="R142" s="40" t="str">
        <f t="shared" si="36"/>
        <v/>
      </c>
      <c r="S142" s="40" t="str">
        <f t="shared" si="37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30"/>
        <v/>
      </c>
      <c r="G143" s="82"/>
      <c r="H143" s="45" t="str">
        <f t="shared" si="31"/>
        <v/>
      </c>
      <c r="I143" s="45" t="str">
        <f t="shared" si="32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3"/>
        <v/>
      </c>
      <c r="P143" s="40" t="str">
        <f t="shared" si="34"/>
        <v/>
      </c>
      <c r="Q143" s="40" t="str">
        <f t="shared" si="35"/>
        <v/>
      </c>
      <c r="R143" s="40" t="str">
        <f t="shared" si="36"/>
        <v/>
      </c>
      <c r="S143" s="40" t="str">
        <f t="shared" si="37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30"/>
        <v/>
      </c>
      <c r="G144" s="82"/>
      <c r="H144" s="45" t="str">
        <f t="shared" si="31"/>
        <v/>
      </c>
      <c r="I144" s="45" t="str">
        <f t="shared" si="32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3"/>
        <v/>
      </c>
      <c r="P144" s="40" t="str">
        <f t="shared" si="34"/>
        <v/>
      </c>
      <c r="Q144" s="40" t="str">
        <f t="shared" si="35"/>
        <v/>
      </c>
      <c r="R144" s="40" t="str">
        <f t="shared" si="36"/>
        <v/>
      </c>
      <c r="S144" s="40" t="str">
        <f t="shared" si="37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30"/>
        <v/>
      </c>
      <c r="G145" s="82"/>
      <c r="H145" s="45" t="str">
        <f t="shared" si="31"/>
        <v/>
      </c>
      <c r="I145" s="45" t="str">
        <f t="shared" si="32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3"/>
        <v/>
      </c>
      <c r="P145" s="40" t="str">
        <f t="shared" si="34"/>
        <v/>
      </c>
      <c r="Q145" s="40" t="str">
        <f t="shared" si="35"/>
        <v/>
      </c>
      <c r="R145" s="40" t="str">
        <f t="shared" si="36"/>
        <v/>
      </c>
      <c r="S145" s="40" t="str">
        <f t="shared" si="37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30"/>
        <v/>
      </c>
      <c r="G146" s="82"/>
      <c r="H146" s="45" t="str">
        <f t="shared" si="31"/>
        <v/>
      </c>
      <c r="I146" s="45" t="str">
        <f t="shared" si="32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3"/>
        <v/>
      </c>
      <c r="P146" s="40" t="str">
        <f t="shared" si="34"/>
        <v/>
      </c>
      <c r="Q146" s="40" t="str">
        <f t="shared" si="35"/>
        <v/>
      </c>
      <c r="R146" s="40" t="str">
        <f t="shared" si="36"/>
        <v/>
      </c>
      <c r="S146" s="40" t="str">
        <f t="shared" si="37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30"/>
        <v/>
      </c>
      <c r="G147" s="82"/>
      <c r="H147" s="45" t="str">
        <f t="shared" si="31"/>
        <v/>
      </c>
      <c r="I147" s="45" t="str">
        <f t="shared" si="32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3"/>
        <v/>
      </c>
      <c r="P147" s="40" t="str">
        <f t="shared" si="34"/>
        <v/>
      </c>
      <c r="Q147" s="40" t="str">
        <f t="shared" si="35"/>
        <v/>
      </c>
      <c r="R147" s="40" t="str">
        <f t="shared" si="36"/>
        <v/>
      </c>
      <c r="S147" s="40" t="str">
        <f t="shared" si="37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30"/>
        <v/>
      </c>
      <c r="G148" s="82"/>
      <c r="H148" s="45" t="str">
        <f t="shared" si="31"/>
        <v/>
      </c>
      <c r="I148" s="45" t="str">
        <f t="shared" si="32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3"/>
        <v/>
      </c>
      <c r="P148" s="40" t="str">
        <f t="shared" si="34"/>
        <v/>
      </c>
      <c r="Q148" s="40" t="str">
        <f t="shared" si="35"/>
        <v/>
      </c>
      <c r="R148" s="40" t="str">
        <f t="shared" si="36"/>
        <v/>
      </c>
      <c r="S148" s="40" t="str">
        <f t="shared" si="37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30"/>
        <v/>
      </c>
      <c r="G149" s="82"/>
      <c r="H149" s="45" t="str">
        <f t="shared" si="31"/>
        <v/>
      </c>
      <c r="I149" s="45" t="str">
        <f t="shared" si="32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3"/>
        <v/>
      </c>
      <c r="P149" s="40" t="str">
        <f t="shared" si="34"/>
        <v/>
      </c>
      <c r="Q149" s="40" t="str">
        <f t="shared" si="35"/>
        <v/>
      </c>
      <c r="R149" s="40" t="str">
        <f t="shared" si="36"/>
        <v/>
      </c>
      <c r="S149" s="40" t="str">
        <f t="shared" si="37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30"/>
        <v/>
      </c>
      <c r="G150" s="82"/>
      <c r="H150" s="45" t="str">
        <f t="shared" si="31"/>
        <v/>
      </c>
      <c r="I150" s="45" t="str">
        <f t="shared" si="32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3"/>
        <v/>
      </c>
      <c r="P150" s="40" t="str">
        <f t="shared" si="34"/>
        <v/>
      </c>
      <c r="Q150" s="40" t="str">
        <f t="shared" si="35"/>
        <v/>
      </c>
      <c r="R150" s="40" t="str">
        <f t="shared" si="36"/>
        <v/>
      </c>
      <c r="S150" s="40" t="str">
        <f t="shared" si="37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30"/>
        <v/>
      </c>
      <c r="G151" s="82"/>
      <c r="H151" s="45" t="str">
        <f t="shared" si="31"/>
        <v/>
      </c>
      <c r="I151" s="45" t="str">
        <f t="shared" si="32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3"/>
        <v/>
      </c>
      <c r="P151" s="40" t="str">
        <f t="shared" si="34"/>
        <v/>
      </c>
      <c r="Q151" s="40" t="str">
        <f t="shared" si="35"/>
        <v/>
      </c>
      <c r="R151" s="40" t="str">
        <f t="shared" si="36"/>
        <v/>
      </c>
      <c r="S151" s="40" t="str">
        <f t="shared" si="37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30"/>
        <v/>
      </c>
      <c r="G152" s="82"/>
      <c r="H152" s="45" t="str">
        <f t="shared" si="31"/>
        <v/>
      </c>
      <c r="I152" s="45" t="str">
        <f t="shared" si="32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3"/>
        <v/>
      </c>
      <c r="P152" s="40" t="str">
        <f t="shared" si="34"/>
        <v/>
      </c>
      <c r="Q152" s="40" t="str">
        <f t="shared" si="35"/>
        <v/>
      </c>
      <c r="R152" s="40" t="str">
        <f t="shared" si="36"/>
        <v/>
      </c>
      <c r="S152" s="40" t="str">
        <f t="shared" si="37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30"/>
        <v/>
      </c>
      <c r="G153" s="82"/>
      <c r="H153" s="45" t="str">
        <f t="shared" si="31"/>
        <v/>
      </c>
      <c r="I153" s="45" t="str">
        <f t="shared" si="32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3"/>
        <v/>
      </c>
      <c r="P153" s="40" t="str">
        <f t="shared" si="34"/>
        <v/>
      </c>
      <c r="Q153" s="40" t="str">
        <f t="shared" si="35"/>
        <v/>
      </c>
      <c r="R153" s="40" t="str">
        <f t="shared" si="36"/>
        <v/>
      </c>
      <c r="S153" s="40" t="str">
        <f t="shared" si="37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30"/>
        <v/>
      </c>
      <c r="G154" s="82"/>
      <c r="H154" s="45" t="str">
        <f t="shared" si="31"/>
        <v/>
      </c>
      <c r="I154" s="45" t="str">
        <f t="shared" si="32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3"/>
        <v/>
      </c>
      <c r="P154" s="40" t="str">
        <f t="shared" si="34"/>
        <v/>
      </c>
      <c r="Q154" s="40" t="str">
        <f t="shared" si="35"/>
        <v/>
      </c>
      <c r="R154" s="40" t="str">
        <f t="shared" si="36"/>
        <v/>
      </c>
      <c r="S154" s="40" t="str">
        <f t="shared" si="37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30"/>
        <v/>
      </c>
      <c r="G155" s="82"/>
      <c r="H155" s="45" t="str">
        <f t="shared" si="31"/>
        <v/>
      </c>
      <c r="I155" s="45" t="str">
        <f t="shared" si="32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3"/>
        <v/>
      </c>
      <c r="P155" s="40" t="str">
        <f t="shared" si="34"/>
        <v/>
      </c>
      <c r="Q155" s="40" t="str">
        <f t="shared" si="35"/>
        <v/>
      </c>
      <c r="R155" s="40" t="str">
        <f t="shared" si="36"/>
        <v/>
      </c>
      <c r="S155" s="40" t="str">
        <f t="shared" si="37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30"/>
        <v/>
      </c>
      <c r="G156" s="82"/>
      <c r="H156" s="45" t="str">
        <f t="shared" si="31"/>
        <v/>
      </c>
      <c r="I156" s="45" t="str">
        <f t="shared" si="32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3"/>
        <v/>
      </c>
      <c r="P156" s="40" t="str">
        <f t="shared" si="34"/>
        <v/>
      </c>
      <c r="Q156" s="40" t="str">
        <f t="shared" si="35"/>
        <v/>
      </c>
      <c r="R156" s="40" t="str">
        <f t="shared" si="36"/>
        <v/>
      </c>
      <c r="S156" s="40" t="str">
        <f t="shared" si="37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30"/>
        <v/>
      </c>
      <c r="G157" s="82"/>
      <c r="H157" s="45" t="str">
        <f t="shared" si="31"/>
        <v/>
      </c>
      <c r="I157" s="45" t="str">
        <f t="shared" si="32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3"/>
        <v/>
      </c>
      <c r="P157" s="40" t="str">
        <f t="shared" si="34"/>
        <v/>
      </c>
      <c r="Q157" s="40" t="str">
        <f t="shared" si="35"/>
        <v/>
      </c>
      <c r="R157" s="40" t="str">
        <f t="shared" si="36"/>
        <v/>
      </c>
      <c r="S157" s="40" t="str">
        <f t="shared" si="37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30"/>
        <v/>
      </c>
      <c r="G158" s="82"/>
      <c r="H158" s="45" t="str">
        <f t="shared" si="31"/>
        <v/>
      </c>
      <c r="I158" s="45" t="str">
        <f t="shared" si="32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3"/>
        <v/>
      </c>
      <c r="P158" s="40" t="str">
        <f t="shared" si="34"/>
        <v/>
      </c>
      <c r="Q158" s="40" t="str">
        <f t="shared" si="35"/>
        <v/>
      </c>
      <c r="R158" s="40" t="str">
        <f t="shared" si="36"/>
        <v/>
      </c>
      <c r="S158" s="40" t="str">
        <f t="shared" si="37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30"/>
        <v/>
      </c>
      <c r="G159" s="82"/>
      <c r="H159" s="45" t="str">
        <f t="shared" si="31"/>
        <v/>
      </c>
      <c r="I159" s="45" t="str">
        <f t="shared" si="32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3"/>
        <v/>
      </c>
      <c r="P159" s="40" t="str">
        <f t="shared" si="34"/>
        <v/>
      </c>
      <c r="Q159" s="40" t="str">
        <f t="shared" si="35"/>
        <v/>
      </c>
      <c r="R159" s="40" t="str">
        <f t="shared" si="36"/>
        <v/>
      </c>
      <c r="S159" s="40" t="str">
        <f t="shared" si="37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30"/>
        <v/>
      </c>
      <c r="G160" s="82"/>
      <c r="H160" s="45" t="str">
        <f t="shared" si="31"/>
        <v/>
      </c>
      <c r="I160" s="45" t="str">
        <f t="shared" si="32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3"/>
        <v/>
      </c>
      <c r="P160" s="40" t="str">
        <f t="shared" si="34"/>
        <v/>
      </c>
      <c r="Q160" s="40" t="str">
        <f t="shared" si="35"/>
        <v/>
      </c>
      <c r="R160" s="40" t="str">
        <f t="shared" si="36"/>
        <v/>
      </c>
      <c r="S160" s="40" t="str">
        <f t="shared" si="37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30"/>
        <v/>
      </c>
      <c r="G161" s="82"/>
      <c r="H161" s="45" t="str">
        <f t="shared" si="31"/>
        <v/>
      </c>
      <c r="I161" s="45" t="str">
        <f t="shared" si="32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3"/>
        <v/>
      </c>
      <c r="P161" s="40" t="str">
        <f t="shared" si="34"/>
        <v/>
      </c>
      <c r="Q161" s="40" t="str">
        <f t="shared" si="35"/>
        <v/>
      </c>
      <c r="R161" s="40" t="str">
        <f t="shared" si="36"/>
        <v/>
      </c>
      <c r="S161" s="40" t="str">
        <f t="shared" si="37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30"/>
        <v/>
      </c>
      <c r="G162" s="82"/>
      <c r="H162" s="45" t="str">
        <f t="shared" si="31"/>
        <v/>
      </c>
      <c r="I162" s="45" t="str">
        <f t="shared" si="32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3"/>
        <v/>
      </c>
      <c r="P162" s="40" t="str">
        <f t="shared" si="34"/>
        <v/>
      </c>
      <c r="Q162" s="40" t="str">
        <f t="shared" si="35"/>
        <v/>
      </c>
      <c r="R162" s="40" t="str">
        <f t="shared" si="36"/>
        <v/>
      </c>
      <c r="S162" s="40" t="str">
        <f t="shared" si="37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30"/>
        <v/>
      </c>
      <c r="G163" s="82"/>
      <c r="H163" s="45" t="str">
        <f t="shared" si="31"/>
        <v/>
      </c>
      <c r="I163" s="45" t="str">
        <f t="shared" si="32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3"/>
        <v/>
      </c>
      <c r="P163" s="40" t="str">
        <f t="shared" si="34"/>
        <v/>
      </c>
      <c r="Q163" s="40" t="str">
        <f t="shared" si="35"/>
        <v/>
      </c>
      <c r="R163" s="40" t="str">
        <f t="shared" si="36"/>
        <v/>
      </c>
      <c r="S163" s="40" t="str">
        <f t="shared" si="37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30"/>
        <v/>
      </c>
      <c r="G164" s="82"/>
      <c r="H164" s="45" t="str">
        <f t="shared" si="31"/>
        <v/>
      </c>
      <c r="I164" s="45" t="str">
        <f t="shared" si="32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3"/>
        <v/>
      </c>
      <c r="P164" s="40" t="str">
        <f t="shared" si="34"/>
        <v/>
      </c>
      <c r="Q164" s="40" t="str">
        <f t="shared" si="35"/>
        <v/>
      </c>
      <c r="R164" s="40" t="str">
        <f t="shared" si="36"/>
        <v/>
      </c>
      <c r="S164" s="40" t="str">
        <f t="shared" si="37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30"/>
        <v/>
      </c>
      <c r="G165" s="82"/>
      <c r="H165" s="45" t="str">
        <f t="shared" si="31"/>
        <v/>
      </c>
      <c r="I165" s="45" t="str">
        <f t="shared" si="32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3"/>
        <v/>
      </c>
      <c r="P165" s="40" t="str">
        <f t="shared" si="34"/>
        <v/>
      </c>
      <c r="Q165" s="40" t="str">
        <f t="shared" si="35"/>
        <v/>
      </c>
      <c r="R165" s="40" t="str">
        <f t="shared" si="36"/>
        <v/>
      </c>
      <c r="S165" s="40" t="str">
        <f t="shared" si="37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30"/>
        <v/>
      </c>
      <c r="G166" s="82"/>
      <c r="H166" s="45" t="str">
        <f t="shared" si="31"/>
        <v/>
      </c>
      <c r="I166" s="45" t="str">
        <f t="shared" si="32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3"/>
        <v/>
      </c>
      <c r="P166" s="40" t="str">
        <f t="shared" si="34"/>
        <v/>
      </c>
      <c r="Q166" s="40" t="str">
        <f t="shared" si="35"/>
        <v/>
      </c>
      <c r="R166" s="40" t="str">
        <f t="shared" si="36"/>
        <v/>
      </c>
      <c r="S166" s="40" t="str">
        <f t="shared" si="37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30"/>
        <v/>
      </c>
      <c r="G167" s="82"/>
      <c r="H167" s="45" t="str">
        <f t="shared" si="31"/>
        <v/>
      </c>
      <c r="I167" s="45" t="str">
        <f t="shared" si="32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3"/>
        <v/>
      </c>
      <c r="P167" s="40" t="str">
        <f t="shared" si="34"/>
        <v/>
      </c>
      <c r="Q167" s="40" t="str">
        <f t="shared" si="35"/>
        <v/>
      </c>
      <c r="R167" s="40" t="str">
        <f t="shared" si="36"/>
        <v/>
      </c>
      <c r="S167" s="40" t="str">
        <f t="shared" si="37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30"/>
        <v/>
      </c>
      <c r="G168" s="82"/>
      <c r="H168" s="45" t="str">
        <f t="shared" si="31"/>
        <v/>
      </c>
      <c r="I168" s="45" t="str">
        <f t="shared" si="32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3"/>
        <v/>
      </c>
      <c r="P168" s="40" t="str">
        <f t="shared" si="34"/>
        <v/>
      </c>
      <c r="Q168" s="40" t="str">
        <f t="shared" si="35"/>
        <v/>
      </c>
      <c r="R168" s="40" t="str">
        <f t="shared" si="36"/>
        <v/>
      </c>
      <c r="S168" s="40" t="str">
        <f t="shared" si="37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30"/>
        <v/>
      </c>
      <c r="G169" s="82"/>
      <c r="H169" s="45" t="str">
        <f t="shared" si="31"/>
        <v/>
      </c>
      <c r="I169" s="45" t="str">
        <f t="shared" si="32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3"/>
        <v/>
      </c>
      <c r="P169" s="40" t="str">
        <f t="shared" si="34"/>
        <v/>
      </c>
      <c r="Q169" s="40" t="str">
        <f t="shared" si="35"/>
        <v/>
      </c>
      <c r="R169" s="40" t="str">
        <f t="shared" si="36"/>
        <v/>
      </c>
      <c r="S169" s="40" t="str">
        <f t="shared" si="37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30"/>
        <v/>
      </c>
      <c r="G170" s="82"/>
      <c r="H170" s="45" t="str">
        <f t="shared" si="31"/>
        <v/>
      </c>
      <c r="I170" s="45" t="str">
        <f t="shared" si="32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3"/>
        <v/>
      </c>
      <c r="P170" s="40" t="str">
        <f t="shared" si="34"/>
        <v/>
      </c>
      <c r="Q170" s="40" t="str">
        <f t="shared" si="35"/>
        <v/>
      </c>
      <c r="R170" s="40" t="str">
        <f t="shared" si="36"/>
        <v/>
      </c>
      <c r="S170" s="40" t="str">
        <f t="shared" si="37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30"/>
        <v/>
      </c>
      <c r="G171" s="82"/>
      <c r="H171" s="45" t="str">
        <f t="shared" si="31"/>
        <v/>
      </c>
      <c r="I171" s="45" t="str">
        <f t="shared" si="32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3"/>
        <v/>
      </c>
      <c r="P171" s="40" t="str">
        <f t="shared" si="34"/>
        <v/>
      </c>
      <c r="Q171" s="40" t="str">
        <f t="shared" si="35"/>
        <v/>
      </c>
      <c r="R171" s="40" t="str">
        <f t="shared" si="36"/>
        <v/>
      </c>
      <c r="S171" s="40" t="str">
        <f t="shared" si="37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30"/>
        <v/>
      </c>
      <c r="G172" s="82"/>
      <c r="H172" s="45" t="str">
        <f t="shared" si="31"/>
        <v/>
      </c>
      <c r="I172" s="45" t="str">
        <f t="shared" si="32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3"/>
        <v/>
      </c>
      <c r="P172" s="40" t="str">
        <f t="shared" si="34"/>
        <v/>
      </c>
      <c r="Q172" s="40" t="str">
        <f t="shared" si="35"/>
        <v/>
      </c>
      <c r="R172" s="40" t="str">
        <f t="shared" si="36"/>
        <v/>
      </c>
      <c r="S172" s="40" t="str">
        <f t="shared" si="37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30"/>
        <v/>
      </c>
      <c r="G173" s="82"/>
      <c r="H173" s="45" t="str">
        <f t="shared" si="31"/>
        <v/>
      </c>
      <c r="I173" s="45" t="str">
        <f t="shared" si="32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3"/>
        <v/>
      </c>
      <c r="P173" s="40" t="str">
        <f t="shared" si="34"/>
        <v/>
      </c>
      <c r="Q173" s="40" t="str">
        <f t="shared" si="35"/>
        <v/>
      </c>
      <c r="R173" s="40" t="str">
        <f t="shared" si="36"/>
        <v/>
      </c>
      <c r="S173" s="40" t="str">
        <f t="shared" si="37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30"/>
        <v/>
      </c>
      <c r="G174" s="82"/>
      <c r="H174" s="45" t="str">
        <f t="shared" si="31"/>
        <v/>
      </c>
      <c r="I174" s="45" t="str">
        <f t="shared" si="32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3"/>
        <v/>
      </c>
      <c r="P174" s="40" t="str">
        <f t="shared" si="34"/>
        <v/>
      </c>
      <c r="Q174" s="40" t="str">
        <f t="shared" si="35"/>
        <v/>
      </c>
      <c r="R174" s="40" t="str">
        <f t="shared" si="36"/>
        <v/>
      </c>
      <c r="S174" s="40" t="str">
        <f t="shared" si="37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30"/>
        <v/>
      </c>
      <c r="G175" s="82"/>
      <c r="H175" s="45" t="str">
        <f t="shared" si="31"/>
        <v/>
      </c>
      <c r="I175" s="45" t="str">
        <f t="shared" si="32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3"/>
        <v/>
      </c>
      <c r="P175" s="40" t="str">
        <f t="shared" si="34"/>
        <v/>
      </c>
      <c r="Q175" s="40" t="str">
        <f t="shared" si="35"/>
        <v/>
      </c>
      <c r="R175" s="40" t="str">
        <f t="shared" si="36"/>
        <v/>
      </c>
      <c r="S175" s="40" t="str">
        <f t="shared" si="37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30"/>
        <v/>
      </c>
      <c r="G176" s="82"/>
      <c r="H176" s="45" t="str">
        <f t="shared" si="31"/>
        <v/>
      </c>
      <c r="I176" s="45" t="str">
        <f t="shared" si="32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3"/>
        <v/>
      </c>
      <c r="P176" s="40" t="str">
        <f t="shared" si="34"/>
        <v/>
      </c>
      <c r="Q176" s="40" t="str">
        <f t="shared" si="35"/>
        <v/>
      </c>
      <c r="R176" s="40" t="str">
        <f t="shared" si="36"/>
        <v/>
      </c>
      <c r="S176" s="40" t="str">
        <f t="shared" si="37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30"/>
        <v/>
      </c>
      <c r="G177" s="82"/>
      <c r="H177" s="45" t="str">
        <f t="shared" si="31"/>
        <v/>
      </c>
      <c r="I177" s="45" t="str">
        <f t="shared" si="32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3"/>
        <v/>
      </c>
      <c r="P177" s="40" t="str">
        <f t="shared" si="34"/>
        <v/>
      </c>
      <c r="Q177" s="40" t="str">
        <f t="shared" si="35"/>
        <v/>
      </c>
      <c r="R177" s="40" t="str">
        <f t="shared" si="36"/>
        <v/>
      </c>
      <c r="S177" s="40" t="str">
        <f t="shared" si="37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30"/>
        <v/>
      </c>
      <c r="G178" s="82"/>
      <c r="H178" s="45" t="str">
        <f t="shared" si="31"/>
        <v/>
      </c>
      <c r="I178" s="45" t="str">
        <f t="shared" si="32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3"/>
        <v/>
      </c>
      <c r="P178" s="40" t="str">
        <f t="shared" si="34"/>
        <v/>
      </c>
      <c r="Q178" s="40" t="str">
        <f t="shared" si="35"/>
        <v/>
      </c>
      <c r="R178" s="40" t="str">
        <f t="shared" si="36"/>
        <v/>
      </c>
      <c r="S178" s="40" t="str">
        <f t="shared" si="37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30"/>
        <v/>
      </c>
      <c r="G179" s="82"/>
      <c r="H179" s="45" t="str">
        <f t="shared" si="31"/>
        <v/>
      </c>
      <c r="I179" s="45" t="str">
        <f t="shared" si="32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3"/>
        <v/>
      </c>
      <c r="P179" s="40" t="str">
        <f t="shared" si="34"/>
        <v/>
      </c>
      <c r="Q179" s="40" t="str">
        <f t="shared" si="35"/>
        <v/>
      </c>
      <c r="R179" s="40" t="str">
        <f t="shared" si="36"/>
        <v/>
      </c>
      <c r="S179" s="40" t="str">
        <f t="shared" si="37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30"/>
        <v/>
      </c>
      <c r="G180" s="82"/>
      <c r="H180" s="45" t="str">
        <f t="shared" si="31"/>
        <v/>
      </c>
      <c r="I180" s="45" t="str">
        <f t="shared" si="32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3"/>
        <v/>
      </c>
      <c r="P180" s="40" t="str">
        <f t="shared" si="34"/>
        <v/>
      </c>
      <c r="Q180" s="40" t="str">
        <f t="shared" si="35"/>
        <v/>
      </c>
      <c r="R180" s="40" t="str">
        <f t="shared" si="36"/>
        <v/>
      </c>
      <c r="S180" s="40" t="str">
        <f t="shared" si="37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30"/>
        <v/>
      </c>
      <c r="G181" s="82"/>
      <c r="H181" s="45" t="str">
        <f t="shared" si="31"/>
        <v/>
      </c>
      <c r="I181" s="45" t="str">
        <f t="shared" si="32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3"/>
        <v/>
      </c>
      <c r="P181" s="40" t="str">
        <f t="shared" si="34"/>
        <v/>
      </c>
      <c r="Q181" s="40" t="str">
        <f t="shared" si="35"/>
        <v/>
      </c>
      <c r="R181" s="40" t="str">
        <f t="shared" si="36"/>
        <v/>
      </c>
      <c r="S181" s="40" t="str">
        <f t="shared" si="37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30"/>
        <v/>
      </c>
      <c r="G182" s="82"/>
      <c r="H182" s="45" t="str">
        <f t="shared" si="31"/>
        <v/>
      </c>
      <c r="I182" s="45" t="str">
        <f t="shared" si="32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3"/>
        <v/>
      </c>
      <c r="P182" s="40" t="str">
        <f t="shared" si="34"/>
        <v/>
      </c>
      <c r="Q182" s="40" t="str">
        <f t="shared" si="35"/>
        <v/>
      </c>
      <c r="R182" s="40" t="str">
        <f t="shared" si="36"/>
        <v/>
      </c>
      <c r="S182" s="40" t="str">
        <f t="shared" si="37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30"/>
        <v/>
      </c>
      <c r="G183" s="82"/>
      <c r="H183" s="45" t="str">
        <f t="shared" si="31"/>
        <v/>
      </c>
      <c r="I183" s="45" t="str">
        <f t="shared" si="32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3"/>
        <v/>
      </c>
      <c r="P183" s="40" t="str">
        <f t="shared" si="34"/>
        <v/>
      </c>
      <c r="Q183" s="40" t="str">
        <f t="shared" si="35"/>
        <v/>
      </c>
      <c r="R183" s="40" t="str">
        <f t="shared" si="36"/>
        <v/>
      </c>
      <c r="S183" s="40" t="str">
        <f t="shared" si="37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30"/>
        <v/>
      </c>
      <c r="G184" s="82"/>
      <c r="H184" s="45" t="str">
        <f t="shared" si="31"/>
        <v/>
      </c>
      <c r="I184" s="45" t="str">
        <f t="shared" si="32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3"/>
        <v/>
      </c>
      <c r="P184" s="40" t="str">
        <f t="shared" si="34"/>
        <v/>
      </c>
      <c r="Q184" s="40" t="str">
        <f t="shared" si="35"/>
        <v/>
      </c>
      <c r="R184" s="40" t="str">
        <f t="shared" si="36"/>
        <v/>
      </c>
      <c r="S184" s="40" t="str">
        <f t="shared" si="37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30"/>
        <v/>
      </c>
      <c r="G185" s="82"/>
      <c r="H185" s="45" t="str">
        <f t="shared" si="31"/>
        <v/>
      </c>
      <c r="I185" s="45" t="str">
        <f t="shared" si="32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3"/>
        <v/>
      </c>
      <c r="P185" s="40" t="str">
        <f t="shared" si="34"/>
        <v/>
      </c>
      <c r="Q185" s="40" t="str">
        <f t="shared" si="35"/>
        <v/>
      </c>
      <c r="R185" s="40" t="str">
        <f t="shared" si="36"/>
        <v/>
      </c>
      <c r="S185" s="40" t="str">
        <f t="shared" si="37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30"/>
        <v/>
      </c>
      <c r="G186" s="82"/>
      <c r="H186" s="45" t="str">
        <f t="shared" si="31"/>
        <v/>
      </c>
      <c r="I186" s="45" t="str">
        <f t="shared" si="32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3"/>
        <v/>
      </c>
      <c r="P186" s="40" t="str">
        <f t="shared" si="34"/>
        <v/>
      </c>
      <c r="Q186" s="40" t="str">
        <f t="shared" si="35"/>
        <v/>
      </c>
      <c r="R186" s="40" t="str">
        <f t="shared" si="36"/>
        <v/>
      </c>
      <c r="S186" s="40" t="str">
        <f t="shared" si="37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30"/>
        <v/>
      </c>
      <c r="G187" s="82"/>
      <c r="H187" s="45" t="str">
        <f t="shared" si="31"/>
        <v/>
      </c>
      <c r="I187" s="45" t="str">
        <f t="shared" si="32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3"/>
        <v/>
      </c>
      <c r="P187" s="40" t="str">
        <f t="shared" si="34"/>
        <v/>
      </c>
      <c r="Q187" s="40" t="str">
        <f t="shared" si="35"/>
        <v/>
      </c>
      <c r="R187" s="40" t="str">
        <f t="shared" si="36"/>
        <v/>
      </c>
      <c r="S187" s="40" t="str">
        <f t="shared" si="37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30"/>
        <v/>
      </c>
      <c r="G188" s="82"/>
      <c r="H188" s="45" t="str">
        <f t="shared" si="31"/>
        <v/>
      </c>
      <c r="I188" s="45" t="str">
        <f t="shared" si="32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3"/>
        <v/>
      </c>
      <c r="P188" s="40" t="str">
        <f t="shared" si="34"/>
        <v/>
      </c>
      <c r="Q188" s="40" t="str">
        <f t="shared" si="35"/>
        <v/>
      </c>
      <c r="R188" s="40" t="str">
        <f t="shared" si="36"/>
        <v/>
      </c>
      <c r="S188" s="40" t="str">
        <f t="shared" si="37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30"/>
        <v/>
      </c>
      <c r="G189" s="82"/>
      <c r="H189" s="45" t="str">
        <f t="shared" si="31"/>
        <v/>
      </c>
      <c r="I189" s="45" t="str">
        <f t="shared" si="32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3"/>
        <v/>
      </c>
      <c r="P189" s="40" t="str">
        <f t="shared" si="34"/>
        <v/>
      </c>
      <c r="Q189" s="40" t="str">
        <f t="shared" si="35"/>
        <v/>
      </c>
      <c r="R189" s="40" t="str">
        <f t="shared" si="36"/>
        <v/>
      </c>
      <c r="S189" s="40" t="str">
        <f t="shared" si="37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30"/>
        <v/>
      </c>
      <c r="G190" s="82"/>
      <c r="H190" s="45" t="str">
        <f t="shared" si="31"/>
        <v/>
      </c>
      <c r="I190" s="45" t="str">
        <f t="shared" si="32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3"/>
        <v/>
      </c>
      <c r="P190" s="40" t="str">
        <f t="shared" si="34"/>
        <v/>
      </c>
      <c r="Q190" s="40" t="str">
        <f t="shared" si="35"/>
        <v/>
      </c>
      <c r="R190" s="40" t="str">
        <f t="shared" si="36"/>
        <v/>
      </c>
      <c r="S190" s="40" t="str">
        <f t="shared" si="37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30"/>
        <v/>
      </c>
      <c r="G191" s="82"/>
      <c r="H191" s="45" t="str">
        <f t="shared" si="31"/>
        <v/>
      </c>
      <c r="I191" s="45" t="str">
        <f t="shared" si="32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3"/>
        <v/>
      </c>
      <c r="P191" s="40" t="str">
        <f t="shared" si="34"/>
        <v/>
      </c>
      <c r="Q191" s="40" t="str">
        <f t="shared" si="35"/>
        <v/>
      </c>
      <c r="R191" s="40" t="str">
        <f t="shared" si="36"/>
        <v/>
      </c>
      <c r="S191" s="40" t="str">
        <f t="shared" si="37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30"/>
        <v/>
      </c>
      <c r="G192" s="82"/>
      <c r="H192" s="45" t="str">
        <f t="shared" si="31"/>
        <v/>
      </c>
      <c r="I192" s="45" t="str">
        <f t="shared" si="32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3"/>
        <v/>
      </c>
      <c r="P192" s="40" t="str">
        <f t="shared" si="34"/>
        <v/>
      </c>
      <c r="Q192" s="40" t="str">
        <f t="shared" si="35"/>
        <v/>
      </c>
      <c r="R192" s="40" t="str">
        <f t="shared" si="36"/>
        <v/>
      </c>
      <c r="S192" s="40" t="str">
        <f t="shared" si="37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30"/>
        <v/>
      </c>
      <c r="G193" s="82"/>
      <c r="H193" s="45" t="str">
        <f t="shared" si="31"/>
        <v/>
      </c>
      <c r="I193" s="45" t="str">
        <f t="shared" si="32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3"/>
        <v/>
      </c>
      <c r="P193" s="40" t="str">
        <f t="shared" si="34"/>
        <v/>
      </c>
      <c r="Q193" s="40" t="str">
        <f t="shared" si="35"/>
        <v/>
      </c>
      <c r="R193" s="40" t="str">
        <f t="shared" si="36"/>
        <v/>
      </c>
      <c r="S193" s="40" t="str">
        <f t="shared" si="37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30"/>
        <v/>
      </c>
      <c r="G194" s="82"/>
      <c r="H194" s="45" t="str">
        <f t="shared" si="31"/>
        <v/>
      </c>
      <c r="I194" s="45" t="str">
        <f t="shared" si="32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3"/>
        <v/>
      </c>
      <c r="P194" s="40" t="str">
        <f t="shared" si="34"/>
        <v/>
      </c>
      <c r="Q194" s="40" t="str">
        <f t="shared" si="35"/>
        <v/>
      </c>
      <c r="R194" s="40" t="str">
        <f t="shared" si="36"/>
        <v/>
      </c>
      <c r="S194" s="40" t="str">
        <f t="shared" si="37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8">IFERROR(VLOOKUP(C195,$T$6:$U$24,2,FALSE),"")</f>
        <v/>
      </c>
      <c r="E195" s="50"/>
      <c r="F195" s="45" t="str">
        <f t="shared" si="30"/>
        <v/>
      </c>
      <c r="G195" s="82"/>
      <c r="H195" s="45" t="str">
        <f t="shared" si="31"/>
        <v/>
      </c>
      <c r="I195" s="45" t="str">
        <f t="shared" si="32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3"/>
        <v/>
      </c>
      <c r="P195" s="40" t="str">
        <f t="shared" si="34"/>
        <v/>
      </c>
      <c r="Q195" s="40" t="str">
        <f t="shared" si="35"/>
        <v/>
      </c>
      <c r="R195" s="40" t="str">
        <f t="shared" si="36"/>
        <v/>
      </c>
      <c r="S195" s="40" t="str">
        <f t="shared" si="37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8"/>
        <v/>
      </c>
      <c r="E196" s="50"/>
      <c r="F196" s="45" t="str">
        <f t="shared" ref="F196:F259" si="39">IFERROR(VLOOKUP(E196,$W$5:$Y$129,2,FALSE),"")</f>
        <v/>
      </c>
      <c r="G196" s="82"/>
      <c r="H196" s="45" t="str">
        <f t="shared" ref="H196:H259" si="40">IFERROR(VLOOKUP(G196,$AC$6:$AD$344,2,FALSE),"")</f>
        <v/>
      </c>
      <c r="I196" s="45" t="str">
        <f t="shared" ref="I196:I259" si="41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2">LEFT(E196,3)</f>
        <v/>
      </c>
      <c r="P196" s="40" t="str">
        <f t="shared" ref="P196:P259" si="43">LEFT(E196,2)</f>
        <v/>
      </c>
      <c r="Q196" s="40" t="str">
        <f t="shared" ref="Q196:Q259" si="44">LEFT(C196,3)</f>
        <v/>
      </c>
      <c r="R196" s="40" t="str">
        <f t="shared" ref="R196:R259" si="45">MID(I196,2,2)</f>
        <v/>
      </c>
      <c r="S196" s="40" t="str">
        <f t="shared" ref="S196:S259" si="46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9"/>
        <v/>
      </c>
      <c r="G197" s="82"/>
      <c r="H197" s="45" t="str">
        <f t="shared" si="40"/>
        <v/>
      </c>
      <c r="I197" s="45" t="str">
        <f t="shared" si="41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2"/>
        <v/>
      </c>
      <c r="P197" s="40" t="str">
        <f t="shared" si="43"/>
        <v/>
      </c>
      <c r="Q197" s="40" t="str">
        <f t="shared" si="44"/>
        <v/>
      </c>
      <c r="R197" s="40" t="str">
        <f t="shared" si="45"/>
        <v/>
      </c>
      <c r="S197" s="40" t="str">
        <f t="shared" si="46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9"/>
        <v/>
      </c>
      <c r="G198" s="82"/>
      <c r="H198" s="45" t="str">
        <f t="shared" si="40"/>
        <v/>
      </c>
      <c r="I198" s="45" t="str">
        <f t="shared" si="41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2"/>
        <v/>
      </c>
      <c r="P198" s="40" t="str">
        <f t="shared" si="43"/>
        <v/>
      </c>
      <c r="Q198" s="40" t="str">
        <f t="shared" si="44"/>
        <v/>
      </c>
      <c r="R198" s="40" t="str">
        <f t="shared" si="45"/>
        <v/>
      </c>
      <c r="S198" s="40" t="str">
        <f t="shared" si="46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9"/>
        <v/>
      </c>
      <c r="G199" s="82"/>
      <c r="H199" s="45" t="str">
        <f t="shared" si="40"/>
        <v/>
      </c>
      <c r="I199" s="45" t="str">
        <f t="shared" si="41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2"/>
        <v/>
      </c>
      <c r="P199" s="40" t="str">
        <f t="shared" si="43"/>
        <v/>
      </c>
      <c r="Q199" s="40" t="str">
        <f t="shared" si="44"/>
        <v/>
      </c>
      <c r="R199" s="40" t="str">
        <f t="shared" si="45"/>
        <v/>
      </c>
      <c r="S199" s="40" t="str">
        <f t="shared" si="46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9"/>
        <v/>
      </c>
      <c r="G200" s="82"/>
      <c r="H200" s="45" t="str">
        <f t="shared" si="40"/>
        <v/>
      </c>
      <c r="I200" s="45" t="str">
        <f t="shared" si="41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2"/>
        <v/>
      </c>
      <c r="P200" s="40" t="str">
        <f t="shared" si="43"/>
        <v/>
      </c>
      <c r="Q200" s="40" t="str">
        <f t="shared" si="44"/>
        <v/>
      </c>
      <c r="R200" s="40" t="str">
        <f t="shared" si="45"/>
        <v/>
      </c>
      <c r="S200" s="40" t="str">
        <f t="shared" si="46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9"/>
        <v/>
      </c>
      <c r="G201" s="82"/>
      <c r="H201" s="45" t="str">
        <f t="shared" si="40"/>
        <v/>
      </c>
      <c r="I201" s="45" t="str">
        <f t="shared" si="41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2"/>
        <v/>
      </c>
      <c r="P201" s="40" t="str">
        <f t="shared" si="43"/>
        <v/>
      </c>
      <c r="Q201" s="40" t="str">
        <f t="shared" si="44"/>
        <v/>
      </c>
      <c r="R201" s="40" t="str">
        <f t="shared" si="45"/>
        <v/>
      </c>
      <c r="S201" s="40" t="str">
        <f t="shared" si="46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9"/>
        <v/>
      </c>
      <c r="G202" s="82"/>
      <c r="H202" s="45" t="str">
        <f t="shared" si="40"/>
        <v/>
      </c>
      <c r="I202" s="45" t="str">
        <f t="shared" si="41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2"/>
        <v/>
      </c>
      <c r="P202" s="40" t="str">
        <f t="shared" si="43"/>
        <v/>
      </c>
      <c r="Q202" s="40" t="str">
        <f t="shared" si="44"/>
        <v/>
      </c>
      <c r="R202" s="40" t="str">
        <f t="shared" si="45"/>
        <v/>
      </c>
      <c r="S202" s="40" t="str">
        <f t="shared" si="46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9"/>
        <v/>
      </c>
      <c r="G203" s="82"/>
      <c r="H203" s="45" t="str">
        <f t="shared" si="40"/>
        <v/>
      </c>
      <c r="I203" s="45" t="str">
        <f t="shared" si="41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2"/>
        <v/>
      </c>
      <c r="P203" s="40" t="str">
        <f t="shared" si="43"/>
        <v/>
      </c>
      <c r="Q203" s="40" t="str">
        <f t="shared" si="44"/>
        <v/>
      </c>
      <c r="R203" s="40" t="str">
        <f t="shared" si="45"/>
        <v/>
      </c>
      <c r="S203" s="40" t="str">
        <f t="shared" si="46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9"/>
        <v/>
      </c>
      <c r="G204" s="82"/>
      <c r="H204" s="45" t="str">
        <f t="shared" si="40"/>
        <v/>
      </c>
      <c r="I204" s="45" t="str">
        <f t="shared" si="41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2"/>
        <v/>
      </c>
      <c r="P204" s="40" t="str">
        <f t="shared" si="43"/>
        <v/>
      </c>
      <c r="Q204" s="40" t="str">
        <f t="shared" si="44"/>
        <v/>
      </c>
      <c r="R204" s="40" t="str">
        <f t="shared" si="45"/>
        <v/>
      </c>
      <c r="S204" s="40" t="str">
        <f t="shared" si="46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9"/>
        <v/>
      </c>
      <c r="G205" s="82"/>
      <c r="H205" s="45" t="str">
        <f t="shared" si="40"/>
        <v/>
      </c>
      <c r="I205" s="45" t="str">
        <f t="shared" si="41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2"/>
        <v/>
      </c>
      <c r="P205" s="40" t="str">
        <f t="shared" si="43"/>
        <v/>
      </c>
      <c r="Q205" s="40" t="str">
        <f t="shared" si="44"/>
        <v/>
      </c>
      <c r="R205" s="40" t="str">
        <f t="shared" si="45"/>
        <v/>
      </c>
      <c r="S205" s="40" t="str">
        <f t="shared" si="46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9"/>
        <v/>
      </c>
      <c r="G206" s="82"/>
      <c r="H206" s="45" t="str">
        <f t="shared" si="40"/>
        <v/>
      </c>
      <c r="I206" s="45" t="str">
        <f t="shared" si="41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2"/>
        <v/>
      </c>
      <c r="P206" s="40" t="str">
        <f t="shared" si="43"/>
        <v/>
      </c>
      <c r="Q206" s="40" t="str">
        <f t="shared" si="44"/>
        <v/>
      </c>
      <c r="R206" s="40" t="str">
        <f t="shared" si="45"/>
        <v/>
      </c>
      <c r="S206" s="40" t="str">
        <f t="shared" si="46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9"/>
        <v/>
      </c>
      <c r="G207" s="82"/>
      <c r="H207" s="45" t="str">
        <f t="shared" si="40"/>
        <v/>
      </c>
      <c r="I207" s="45" t="str">
        <f t="shared" si="41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2"/>
        <v/>
      </c>
      <c r="P207" s="40" t="str">
        <f t="shared" si="43"/>
        <v/>
      </c>
      <c r="Q207" s="40" t="str">
        <f t="shared" si="44"/>
        <v/>
      </c>
      <c r="R207" s="40" t="str">
        <f t="shared" si="45"/>
        <v/>
      </c>
      <c r="S207" s="40" t="str">
        <f t="shared" si="46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9"/>
        <v/>
      </c>
      <c r="G208" s="82"/>
      <c r="H208" s="45" t="str">
        <f t="shared" si="40"/>
        <v/>
      </c>
      <c r="I208" s="45" t="str">
        <f t="shared" si="41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2"/>
        <v/>
      </c>
      <c r="P208" s="40" t="str">
        <f t="shared" si="43"/>
        <v/>
      </c>
      <c r="Q208" s="40" t="str">
        <f t="shared" si="44"/>
        <v/>
      </c>
      <c r="R208" s="40" t="str">
        <f t="shared" si="45"/>
        <v/>
      </c>
      <c r="S208" s="40" t="str">
        <f t="shared" si="46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9"/>
        <v/>
      </c>
      <c r="G209" s="82"/>
      <c r="H209" s="45" t="str">
        <f t="shared" si="40"/>
        <v/>
      </c>
      <c r="I209" s="45" t="str">
        <f t="shared" si="41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2"/>
        <v/>
      </c>
      <c r="P209" s="40" t="str">
        <f t="shared" si="43"/>
        <v/>
      </c>
      <c r="Q209" s="40" t="str">
        <f t="shared" si="44"/>
        <v/>
      </c>
      <c r="R209" s="40" t="str">
        <f t="shared" si="45"/>
        <v/>
      </c>
      <c r="S209" s="40" t="str">
        <f t="shared" si="46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9"/>
        <v/>
      </c>
      <c r="G210" s="82"/>
      <c r="H210" s="45" t="str">
        <f t="shared" si="40"/>
        <v/>
      </c>
      <c r="I210" s="45" t="str">
        <f t="shared" si="41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2"/>
        <v/>
      </c>
      <c r="P210" s="40" t="str">
        <f t="shared" si="43"/>
        <v/>
      </c>
      <c r="Q210" s="40" t="str">
        <f t="shared" si="44"/>
        <v/>
      </c>
      <c r="R210" s="40" t="str">
        <f t="shared" si="45"/>
        <v/>
      </c>
      <c r="S210" s="40" t="str">
        <f t="shared" si="46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9"/>
        <v/>
      </c>
      <c r="G211" s="82"/>
      <c r="H211" s="45" t="str">
        <f t="shared" si="40"/>
        <v/>
      </c>
      <c r="I211" s="45" t="str">
        <f t="shared" si="41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2"/>
        <v/>
      </c>
      <c r="P211" s="40" t="str">
        <f t="shared" si="43"/>
        <v/>
      </c>
      <c r="Q211" s="40" t="str">
        <f t="shared" si="44"/>
        <v/>
      </c>
      <c r="R211" s="40" t="str">
        <f t="shared" si="45"/>
        <v/>
      </c>
      <c r="S211" s="40" t="str">
        <f t="shared" si="46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9"/>
        <v/>
      </c>
      <c r="G212" s="82"/>
      <c r="H212" s="45" t="str">
        <f t="shared" si="40"/>
        <v/>
      </c>
      <c r="I212" s="45" t="str">
        <f t="shared" si="41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2"/>
        <v/>
      </c>
      <c r="P212" s="40" t="str">
        <f t="shared" si="43"/>
        <v/>
      </c>
      <c r="Q212" s="40" t="str">
        <f t="shared" si="44"/>
        <v/>
      </c>
      <c r="R212" s="40" t="str">
        <f t="shared" si="45"/>
        <v/>
      </c>
      <c r="S212" s="40" t="str">
        <f t="shared" si="46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9"/>
        <v/>
      </c>
      <c r="G213" s="82"/>
      <c r="H213" s="45" t="str">
        <f t="shared" si="40"/>
        <v/>
      </c>
      <c r="I213" s="45" t="str">
        <f t="shared" si="41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2"/>
        <v/>
      </c>
      <c r="P213" s="40" t="str">
        <f t="shared" si="43"/>
        <v/>
      </c>
      <c r="Q213" s="40" t="str">
        <f t="shared" si="44"/>
        <v/>
      </c>
      <c r="R213" s="40" t="str">
        <f t="shared" si="45"/>
        <v/>
      </c>
      <c r="S213" s="40" t="str">
        <f t="shared" si="46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9"/>
        <v/>
      </c>
      <c r="G214" s="82"/>
      <c r="H214" s="45" t="str">
        <f t="shared" si="40"/>
        <v/>
      </c>
      <c r="I214" s="45" t="str">
        <f t="shared" si="41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2"/>
        <v/>
      </c>
      <c r="P214" s="40" t="str">
        <f t="shared" si="43"/>
        <v/>
      </c>
      <c r="Q214" s="40" t="str">
        <f t="shared" si="44"/>
        <v/>
      </c>
      <c r="R214" s="40" t="str">
        <f t="shared" si="45"/>
        <v/>
      </c>
      <c r="S214" s="40" t="str">
        <f t="shared" si="46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9"/>
        <v/>
      </c>
      <c r="G215" s="82"/>
      <c r="H215" s="45" t="str">
        <f t="shared" si="40"/>
        <v/>
      </c>
      <c r="I215" s="45" t="str">
        <f t="shared" si="41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2"/>
        <v/>
      </c>
      <c r="P215" s="40" t="str">
        <f t="shared" si="43"/>
        <v/>
      </c>
      <c r="Q215" s="40" t="str">
        <f t="shared" si="44"/>
        <v/>
      </c>
      <c r="R215" s="40" t="str">
        <f t="shared" si="45"/>
        <v/>
      </c>
      <c r="S215" s="40" t="str">
        <f t="shared" si="46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9"/>
        <v/>
      </c>
      <c r="G216" s="82"/>
      <c r="H216" s="45" t="str">
        <f t="shared" si="40"/>
        <v/>
      </c>
      <c r="I216" s="45" t="str">
        <f t="shared" si="41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2"/>
        <v/>
      </c>
      <c r="P216" s="40" t="str">
        <f t="shared" si="43"/>
        <v/>
      </c>
      <c r="Q216" s="40" t="str">
        <f t="shared" si="44"/>
        <v/>
      </c>
      <c r="R216" s="40" t="str">
        <f t="shared" si="45"/>
        <v/>
      </c>
      <c r="S216" s="40" t="str">
        <f t="shared" si="46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9"/>
        <v/>
      </c>
      <c r="G217" s="82"/>
      <c r="H217" s="45" t="str">
        <f t="shared" si="40"/>
        <v/>
      </c>
      <c r="I217" s="45" t="str">
        <f t="shared" si="41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2"/>
        <v/>
      </c>
      <c r="P217" s="40" t="str">
        <f t="shared" si="43"/>
        <v/>
      </c>
      <c r="Q217" s="40" t="str">
        <f t="shared" si="44"/>
        <v/>
      </c>
      <c r="R217" s="40" t="str">
        <f t="shared" si="45"/>
        <v/>
      </c>
      <c r="S217" s="40" t="str">
        <f t="shared" si="46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9"/>
        <v/>
      </c>
      <c r="G218" s="82"/>
      <c r="H218" s="45" t="str">
        <f t="shared" si="40"/>
        <v/>
      </c>
      <c r="I218" s="45" t="str">
        <f t="shared" si="41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2"/>
        <v/>
      </c>
      <c r="P218" s="40" t="str">
        <f t="shared" si="43"/>
        <v/>
      </c>
      <c r="Q218" s="40" t="str">
        <f t="shared" si="44"/>
        <v/>
      </c>
      <c r="R218" s="40" t="str">
        <f t="shared" si="45"/>
        <v/>
      </c>
      <c r="S218" s="40" t="str">
        <f t="shared" si="46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9"/>
        <v/>
      </c>
      <c r="G219" s="82"/>
      <c r="H219" s="45" t="str">
        <f t="shared" si="40"/>
        <v/>
      </c>
      <c r="I219" s="45" t="str">
        <f t="shared" si="41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2"/>
        <v/>
      </c>
      <c r="P219" s="40" t="str">
        <f t="shared" si="43"/>
        <v/>
      </c>
      <c r="Q219" s="40" t="str">
        <f t="shared" si="44"/>
        <v/>
      </c>
      <c r="R219" s="40" t="str">
        <f t="shared" si="45"/>
        <v/>
      </c>
      <c r="S219" s="40" t="str">
        <f t="shared" si="46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9"/>
        <v/>
      </c>
      <c r="G220" s="82"/>
      <c r="H220" s="45" t="str">
        <f t="shared" si="40"/>
        <v/>
      </c>
      <c r="I220" s="45" t="str">
        <f t="shared" si="41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2"/>
        <v/>
      </c>
      <c r="P220" s="40" t="str">
        <f t="shared" si="43"/>
        <v/>
      </c>
      <c r="Q220" s="40" t="str">
        <f t="shared" si="44"/>
        <v/>
      </c>
      <c r="R220" s="40" t="str">
        <f t="shared" si="45"/>
        <v/>
      </c>
      <c r="S220" s="40" t="str">
        <f t="shared" si="46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9"/>
        <v/>
      </c>
      <c r="G221" s="82"/>
      <c r="H221" s="45" t="str">
        <f t="shared" si="40"/>
        <v/>
      </c>
      <c r="I221" s="45" t="str">
        <f t="shared" si="41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2"/>
        <v/>
      </c>
      <c r="P221" s="40" t="str">
        <f t="shared" si="43"/>
        <v/>
      </c>
      <c r="Q221" s="40" t="str">
        <f t="shared" si="44"/>
        <v/>
      </c>
      <c r="R221" s="40" t="str">
        <f t="shared" si="45"/>
        <v/>
      </c>
      <c r="S221" s="40" t="str">
        <f t="shared" si="46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9"/>
        <v/>
      </c>
      <c r="G222" s="82"/>
      <c r="H222" s="45" t="str">
        <f t="shared" si="40"/>
        <v/>
      </c>
      <c r="I222" s="45" t="str">
        <f t="shared" si="41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2"/>
        <v/>
      </c>
      <c r="P222" s="40" t="str">
        <f t="shared" si="43"/>
        <v/>
      </c>
      <c r="Q222" s="40" t="str">
        <f t="shared" si="44"/>
        <v/>
      </c>
      <c r="R222" s="40" t="str">
        <f t="shared" si="45"/>
        <v/>
      </c>
      <c r="S222" s="40" t="str">
        <f t="shared" si="46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9"/>
        <v/>
      </c>
      <c r="G223" s="82"/>
      <c r="H223" s="45" t="str">
        <f t="shared" si="40"/>
        <v/>
      </c>
      <c r="I223" s="45" t="str">
        <f t="shared" si="41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2"/>
        <v/>
      </c>
      <c r="P223" s="40" t="str">
        <f t="shared" si="43"/>
        <v/>
      </c>
      <c r="Q223" s="40" t="str">
        <f t="shared" si="44"/>
        <v/>
      </c>
      <c r="R223" s="40" t="str">
        <f t="shared" si="45"/>
        <v/>
      </c>
      <c r="S223" s="40" t="str">
        <f t="shared" si="46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9"/>
        <v/>
      </c>
      <c r="G224" s="82"/>
      <c r="H224" s="45" t="str">
        <f t="shared" si="40"/>
        <v/>
      </c>
      <c r="I224" s="45" t="str">
        <f t="shared" si="41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2"/>
        <v/>
      </c>
      <c r="P224" s="40" t="str">
        <f t="shared" si="43"/>
        <v/>
      </c>
      <c r="Q224" s="40" t="str">
        <f t="shared" si="44"/>
        <v/>
      </c>
      <c r="R224" s="40" t="str">
        <f t="shared" si="45"/>
        <v/>
      </c>
      <c r="S224" s="40" t="str">
        <f t="shared" si="46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9"/>
        <v/>
      </c>
      <c r="G225" s="82"/>
      <c r="H225" s="45" t="str">
        <f t="shared" si="40"/>
        <v/>
      </c>
      <c r="I225" s="45" t="str">
        <f t="shared" si="41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2"/>
        <v/>
      </c>
      <c r="P225" s="40" t="str">
        <f t="shared" si="43"/>
        <v/>
      </c>
      <c r="Q225" s="40" t="str">
        <f t="shared" si="44"/>
        <v/>
      </c>
      <c r="R225" s="40" t="str">
        <f t="shared" si="45"/>
        <v/>
      </c>
      <c r="S225" s="40" t="str">
        <f t="shared" si="46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9"/>
        <v/>
      </c>
      <c r="G226" s="82"/>
      <c r="H226" s="45" t="str">
        <f t="shared" si="40"/>
        <v/>
      </c>
      <c r="I226" s="45" t="str">
        <f t="shared" si="41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2"/>
        <v/>
      </c>
      <c r="P226" s="40" t="str">
        <f t="shared" si="43"/>
        <v/>
      </c>
      <c r="Q226" s="40" t="str">
        <f t="shared" si="44"/>
        <v/>
      </c>
      <c r="R226" s="40" t="str">
        <f t="shared" si="45"/>
        <v/>
      </c>
      <c r="S226" s="40" t="str">
        <f t="shared" si="46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9"/>
        <v/>
      </c>
      <c r="G227" s="82"/>
      <c r="H227" s="45" t="str">
        <f t="shared" si="40"/>
        <v/>
      </c>
      <c r="I227" s="45" t="str">
        <f t="shared" si="41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2"/>
        <v/>
      </c>
      <c r="P227" s="40" t="str">
        <f t="shared" si="43"/>
        <v/>
      </c>
      <c r="Q227" s="40" t="str">
        <f t="shared" si="44"/>
        <v/>
      </c>
      <c r="R227" s="40" t="str">
        <f t="shared" si="45"/>
        <v/>
      </c>
      <c r="S227" s="40" t="str">
        <f t="shared" si="46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9"/>
        <v/>
      </c>
      <c r="G228" s="82"/>
      <c r="H228" s="45" t="str">
        <f t="shared" si="40"/>
        <v/>
      </c>
      <c r="I228" s="45" t="str">
        <f t="shared" si="41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2"/>
        <v/>
      </c>
      <c r="P228" s="40" t="str">
        <f t="shared" si="43"/>
        <v/>
      </c>
      <c r="Q228" s="40" t="str">
        <f t="shared" si="44"/>
        <v/>
      </c>
      <c r="R228" s="40" t="str">
        <f t="shared" si="45"/>
        <v/>
      </c>
      <c r="S228" s="40" t="str">
        <f t="shared" si="46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9"/>
        <v/>
      </c>
      <c r="G229" s="82"/>
      <c r="H229" s="45" t="str">
        <f t="shared" si="40"/>
        <v/>
      </c>
      <c r="I229" s="45" t="str">
        <f t="shared" si="41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2"/>
        <v/>
      </c>
      <c r="P229" s="40" t="str">
        <f t="shared" si="43"/>
        <v/>
      </c>
      <c r="Q229" s="40" t="str">
        <f t="shared" si="44"/>
        <v/>
      </c>
      <c r="R229" s="40" t="str">
        <f t="shared" si="45"/>
        <v/>
      </c>
      <c r="S229" s="40" t="str">
        <f t="shared" si="46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9"/>
        <v/>
      </c>
      <c r="G230" s="82"/>
      <c r="H230" s="45" t="str">
        <f t="shared" si="40"/>
        <v/>
      </c>
      <c r="I230" s="45" t="str">
        <f t="shared" si="41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2"/>
        <v/>
      </c>
      <c r="P230" s="40" t="str">
        <f t="shared" si="43"/>
        <v/>
      </c>
      <c r="Q230" s="40" t="str">
        <f t="shared" si="44"/>
        <v/>
      </c>
      <c r="R230" s="40" t="str">
        <f t="shared" si="45"/>
        <v/>
      </c>
      <c r="S230" s="40" t="str">
        <f t="shared" si="46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9"/>
        <v/>
      </c>
      <c r="G231" s="82"/>
      <c r="H231" s="45" t="str">
        <f t="shared" si="40"/>
        <v/>
      </c>
      <c r="I231" s="45" t="str">
        <f t="shared" si="41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2"/>
        <v/>
      </c>
      <c r="P231" s="40" t="str">
        <f t="shared" si="43"/>
        <v/>
      </c>
      <c r="Q231" s="40" t="str">
        <f t="shared" si="44"/>
        <v/>
      </c>
      <c r="R231" s="40" t="str">
        <f t="shared" si="45"/>
        <v/>
      </c>
      <c r="S231" s="40" t="str">
        <f t="shared" si="46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9"/>
        <v/>
      </c>
      <c r="G232" s="82"/>
      <c r="H232" s="45" t="str">
        <f t="shared" si="40"/>
        <v/>
      </c>
      <c r="I232" s="45" t="str">
        <f t="shared" si="41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2"/>
        <v/>
      </c>
      <c r="P232" s="40" t="str">
        <f t="shared" si="43"/>
        <v/>
      </c>
      <c r="Q232" s="40" t="str">
        <f t="shared" si="44"/>
        <v/>
      </c>
      <c r="R232" s="40" t="str">
        <f t="shared" si="45"/>
        <v/>
      </c>
      <c r="S232" s="40" t="str">
        <f t="shared" si="46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9"/>
        <v/>
      </c>
      <c r="G233" s="82"/>
      <c r="H233" s="45" t="str">
        <f t="shared" si="40"/>
        <v/>
      </c>
      <c r="I233" s="45" t="str">
        <f t="shared" si="41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2"/>
        <v/>
      </c>
      <c r="P233" s="40" t="str">
        <f t="shared" si="43"/>
        <v/>
      </c>
      <c r="Q233" s="40" t="str">
        <f t="shared" si="44"/>
        <v/>
      </c>
      <c r="R233" s="40" t="str">
        <f t="shared" si="45"/>
        <v/>
      </c>
      <c r="S233" s="40" t="str">
        <f t="shared" si="46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9"/>
        <v/>
      </c>
      <c r="G234" s="82"/>
      <c r="H234" s="45" t="str">
        <f t="shared" si="40"/>
        <v/>
      </c>
      <c r="I234" s="45" t="str">
        <f t="shared" si="41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2"/>
        <v/>
      </c>
      <c r="P234" s="40" t="str">
        <f t="shared" si="43"/>
        <v/>
      </c>
      <c r="Q234" s="40" t="str">
        <f t="shared" si="44"/>
        <v/>
      </c>
      <c r="R234" s="40" t="str">
        <f t="shared" si="45"/>
        <v/>
      </c>
      <c r="S234" s="40" t="str">
        <f t="shared" si="46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9"/>
        <v/>
      </c>
      <c r="G235" s="82"/>
      <c r="H235" s="45" t="str">
        <f t="shared" si="40"/>
        <v/>
      </c>
      <c r="I235" s="45" t="str">
        <f t="shared" si="41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2"/>
        <v/>
      </c>
      <c r="P235" s="40" t="str">
        <f t="shared" si="43"/>
        <v/>
      </c>
      <c r="Q235" s="40" t="str">
        <f t="shared" si="44"/>
        <v/>
      </c>
      <c r="R235" s="40" t="str">
        <f t="shared" si="45"/>
        <v/>
      </c>
      <c r="S235" s="40" t="str">
        <f t="shared" si="46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9"/>
        <v/>
      </c>
      <c r="G236" s="82"/>
      <c r="H236" s="45" t="str">
        <f t="shared" si="40"/>
        <v/>
      </c>
      <c r="I236" s="45" t="str">
        <f t="shared" si="41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2"/>
        <v/>
      </c>
      <c r="P236" s="40" t="str">
        <f t="shared" si="43"/>
        <v/>
      </c>
      <c r="Q236" s="40" t="str">
        <f t="shared" si="44"/>
        <v/>
      </c>
      <c r="R236" s="40" t="str">
        <f t="shared" si="45"/>
        <v/>
      </c>
      <c r="S236" s="40" t="str">
        <f t="shared" si="46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9"/>
        <v/>
      </c>
      <c r="G237" s="82"/>
      <c r="H237" s="45" t="str">
        <f t="shared" si="40"/>
        <v/>
      </c>
      <c r="I237" s="45" t="str">
        <f t="shared" si="41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2"/>
        <v/>
      </c>
      <c r="P237" s="40" t="str">
        <f t="shared" si="43"/>
        <v/>
      </c>
      <c r="Q237" s="40" t="str">
        <f t="shared" si="44"/>
        <v/>
      </c>
      <c r="R237" s="40" t="str">
        <f t="shared" si="45"/>
        <v/>
      </c>
      <c r="S237" s="40" t="str">
        <f t="shared" si="46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9"/>
        <v/>
      </c>
      <c r="G238" s="82"/>
      <c r="H238" s="45" t="str">
        <f t="shared" si="40"/>
        <v/>
      </c>
      <c r="I238" s="45" t="str">
        <f t="shared" si="41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2"/>
        <v/>
      </c>
      <c r="P238" s="40" t="str">
        <f t="shared" si="43"/>
        <v/>
      </c>
      <c r="Q238" s="40" t="str">
        <f t="shared" si="44"/>
        <v/>
      </c>
      <c r="R238" s="40" t="str">
        <f t="shared" si="45"/>
        <v/>
      </c>
      <c r="S238" s="40" t="str">
        <f t="shared" si="46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9"/>
        <v/>
      </c>
      <c r="G239" s="82"/>
      <c r="H239" s="45" t="str">
        <f t="shared" si="40"/>
        <v/>
      </c>
      <c r="I239" s="45" t="str">
        <f t="shared" si="41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2"/>
        <v/>
      </c>
      <c r="P239" s="40" t="str">
        <f t="shared" si="43"/>
        <v/>
      </c>
      <c r="Q239" s="40" t="str">
        <f t="shared" si="44"/>
        <v/>
      </c>
      <c r="R239" s="40" t="str">
        <f t="shared" si="45"/>
        <v/>
      </c>
      <c r="S239" s="40" t="str">
        <f t="shared" si="46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9"/>
        <v/>
      </c>
      <c r="G240" s="82"/>
      <c r="H240" s="45" t="str">
        <f t="shared" si="40"/>
        <v/>
      </c>
      <c r="I240" s="45" t="str">
        <f t="shared" si="41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2"/>
        <v/>
      </c>
      <c r="P240" s="40" t="str">
        <f t="shared" si="43"/>
        <v/>
      </c>
      <c r="Q240" s="40" t="str">
        <f t="shared" si="44"/>
        <v/>
      </c>
      <c r="R240" s="40" t="str">
        <f t="shared" si="45"/>
        <v/>
      </c>
      <c r="S240" s="40" t="str">
        <f t="shared" si="46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9"/>
        <v/>
      </c>
      <c r="G241" s="82"/>
      <c r="H241" s="45" t="str">
        <f t="shared" si="40"/>
        <v/>
      </c>
      <c r="I241" s="45" t="str">
        <f t="shared" si="41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2"/>
        <v/>
      </c>
      <c r="P241" s="40" t="str">
        <f t="shared" si="43"/>
        <v/>
      </c>
      <c r="Q241" s="40" t="str">
        <f t="shared" si="44"/>
        <v/>
      </c>
      <c r="R241" s="40" t="str">
        <f t="shared" si="45"/>
        <v/>
      </c>
      <c r="S241" s="40" t="str">
        <f t="shared" si="46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9"/>
        <v/>
      </c>
      <c r="G242" s="82"/>
      <c r="H242" s="45" t="str">
        <f t="shared" si="40"/>
        <v/>
      </c>
      <c r="I242" s="45" t="str">
        <f t="shared" si="41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2"/>
        <v/>
      </c>
      <c r="P242" s="40" t="str">
        <f t="shared" si="43"/>
        <v/>
      </c>
      <c r="Q242" s="40" t="str">
        <f t="shared" si="44"/>
        <v/>
      </c>
      <c r="R242" s="40" t="str">
        <f t="shared" si="45"/>
        <v/>
      </c>
      <c r="S242" s="40" t="str">
        <f t="shared" si="46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9"/>
        <v/>
      </c>
      <c r="G243" s="82"/>
      <c r="H243" s="45" t="str">
        <f t="shared" si="40"/>
        <v/>
      </c>
      <c r="I243" s="45" t="str">
        <f t="shared" si="41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2"/>
        <v/>
      </c>
      <c r="P243" s="40" t="str">
        <f t="shared" si="43"/>
        <v/>
      </c>
      <c r="Q243" s="40" t="str">
        <f t="shared" si="44"/>
        <v/>
      </c>
      <c r="R243" s="40" t="str">
        <f t="shared" si="45"/>
        <v/>
      </c>
      <c r="S243" s="40" t="str">
        <f t="shared" si="46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9"/>
        <v/>
      </c>
      <c r="G244" s="82"/>
      <c r="H244" s="45" t="str">
        <f t="shared" si="40"/>
        <v/>
      </c>
      <c r="I244" s="45" t="str">
        <f t="shared" si="41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2"/>
        <v/>
      </c>
      <c r="P244" s="40" t="str">
        <f t="shared" si="43"/>
        <v/>
      </c>
      <c r="Q244" s="40" t="str">
        <f t="shared" si="44"/>
        <v/>
      </c>
      <c r="R244" s="40" t="str">
        <f t="shared" si="45"/>
        <v/>
      </c>
      <c r="S244" s="40" t="str">
        <f t="shared" si="46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9"/>
        <v/>
      </c>
      <c r="G245" s="82"/>
      <c r="H245" s="45" t="str">
        <f t="shared" si="40"/>
        <v/>
      </c>
      <c r="I245" s="45" t="str">
        <f t="shared" si="41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2"/>
        <v/>
      </c>
      <c r="P245" s="40" t="str">
        <f t="shared" si="43"/>
        <v/>
      </c>
      <c r="Q245" s="40" t="str">
        <f t="shared" si="44"/>
        <v/>
      </c>
      <c r="R245" s="40" t="str">
        <f t="shared" si="45"/>
        <v/>
      </c>
      <c r="S245" s="40" t="str">
        <f t="shared" si="46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9"/>
        <v/>
      </c>
      <c r="G246" s="82"/>
      <c r="H246" s="45" t="str">
        <f t="shared" si="40"/>
        <v/>
      </c>
      <c r="I246" s="45" t="str">
        <f t="shared" si="41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2"/>
        <v/>
      </c>
      <c r="P246" s="40" t="str">
        <f t="shared" si="43"/>
        <v/>
      </c>
      <c r="Q246" s="40" t="str">
        <f t="shared" si="44"/>
        <v/>
      </c>
      <c r="R246" s="40" t="str">
        <f t="shared" si="45"/>
        <v/>
      </c>
      <c r="S246" s="40" t="str">
        <f t="shared" si="46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9"/>
        <v/>
      </c>
      <c r="G247" s="82"/>
      <c r="H247" s="45" t="str">
        <f t="shared" si="40"/>
        <v/>
      </c>
      <c r="I247" s="45" t="str">
        <f t="shared" si="41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2"/>
        <v/>
      </c>
      <c r="P247" s="40" t="str">
        <f t="shared" si="43"/>
        <v/>
      </c>
      <c r="Q247" s="40" t="str">
        <f t="shared" si="44"/>
        <v/>
      </c>
      <c r="R247" s="40" t="str">
        <f t="shared" si="45"/>
        <v/>
      </c>
      <c r="S247" s="40" t="str">
        <f t="shared" si="46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9"/>
        <v/>
      </c>
      <c r="G248" s="82"/>
      <c r="H248" s="45" t="str">
        <f t="shared" si="40"/>
        <v/>
      </c>
      <c r="I248" s="45" t="str">
        <f t="shared" si="41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2"/>
        <v/>
      </c>
      <c r="P248" s="40" t="str">
        <f t="shared" si="43"/>
        <v/>
      </c>
      <c r="Q248" s="40" t="str">
        <f t="shared" si="44"/>
        <v/>
      </c>
      <c r="R248" s="40" t="str">
        <f t="shared" si="45"/>
        <v/>
      </c>
      <c r="S248" s="40" t="str">
        <f t="shared" si="46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9"/>
        <v/>
      </c>
      <c r="G249" s="82"/>
      <c r="H249" s="45" t="str">
        <f t="shared" si="40"/>
        <v/>
      </c>
      <c r="I249" s="45" t="str">
        <f t="shared" si="41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2"/>
        <v/>
      </c>
      <c r="P249" s="40" t="str">
        <f t="shared" si="43"/>
        <v/>
      </c>
      <c r="Q249" s="40" t="str">
        <f t="shared" si="44"/>
        <v/>
      </c>
      <c r="R249" s="40" t="str">
        <f t="shared" si="45"/>
        <v/>
      </c>
      <c r="S249" s="40" t="str">
        <f t="shared" si="46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9"/>
        <v/>
      </c>
      <c r="G250" s="82"/>
      <c r="H250" s="45" t="str">
        <f t="shared" si="40"/>
        <v/>
      </c>
      <c r="I250" s="45" t="str">
        <f t="shared" si="41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2"/>
        <v/>
      </c>
      <c r="P250" s="40" t="str">
        <f t="shared" si="43"/>
        <v/>
      </c>
      <c r="Q250" s="40" t="str">
        <f t="shared" si="44"/>
        <v/>
      </c>
      <c r="R250" s="40" t="str">
        <f t="shared" si="45"/>
        <v/>
      </c>
      <c r="S250" s="40" t="str">
        <f t="shared" si="46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9"/>
        <v/>
      </c>
      <c r="G251" s="82"/>
      <c r="H251" s="45" t="str">
        <f t="shared" si="40"/>
        <v/>
      </c>
      <c r="I251" s="45" t="str">
        <f t="shared" si="41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2"/>
        <v/>
      </c>
      <c r="P251" s="40" t="str">
        <f t="shared" si="43"/>
        <v/>
      </c>
      <c r="Q251" s="40" t="str">
        <f t="shared" si="44"/>
        <v/>
      </c>
      <c r="R251" s="40" t="str">
        <f t="shared" si="45"/>
        <v/>
      </c>
      <c r="S251" s="40" t="str">
        <f t="shared" si="46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9"/>
        <v/>
      </c>
      <c r="G252" s="82"/>
      <c r="H252" s="45" t="str">
        <f t="shared" si="40"/>
        <v/>
      </c>
      <c r="I252" s="45" t="str">
        <f t="shared" si="41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2"/>
        <v/>
      </c>
      <c r="P252" s="40" t="str">
        <f t="shared" si="43"/>
        <v/>
      </c>
      <c r="Q252" s="40" t="str">
        <f t="shared" si="44"/>
        <v/>
      </c>
      <c r="R252" s="40" t="str">
        <f t="shared" si="45"/>
        <v/>
      </c>
      <c r="S252" s="40" t="str">
        <f t="shared" si="46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9"/>
        <v/>
      </c>
      <c r="G253" s="82"/>
      <c r="H253" s="45" t="str">
        <f t="shared" si="40"/>
        <v/>
      </c>
      <c r="I253" s="45" t="str">
        <f t="shared" si="41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2"/>
        <v/>
      </c>
      <c r="P253" s="40" t="str">
        <f t="shared" si="43"/>
        <v/>
      </c>
      <c r="Q253" s="40" t="str">
        <f t="shared" si="44"/>
        <v/>
      </c>
      <c r="R253" s="40" t="str">
        <f t="shared" si="45"/>
        <v/>
      </c>
      <c r="S253" s="40" t="str">
        <f t="shared" si="46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9"/>
        <v/>
      </c>
      <c r="G254" s="82"/>
      <c r="H254" s="45" t="str">
        <f t="shared" si="40"/>
        <v/>
      </c>
      <c r="I254" s="45" t="str">
        <f t="shared" si="41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2"/>
        <v/>
      </c>
      <c r="P254" s="40" t="str">
        <f t="shared" si="43"/>
        <v/>
      </c>
      <c r="Q254" s="40" t="str">
        <f t="shared" si="44"/>
        <v/>
      </c>
      <c r="R254" s="40" t="str">
        <f t="shared" si="45"/>
        <v/>
      </c>
      <c r="S254" s="40" t="str">
        <f t="shared" si="46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9"/>
        <v/>
      </c>
      <c r="G255" s="82"/>
      <c r="H255" s="45" t="str">
        <f t="shared" si="40"/>
        <v/>
      </c>
      <c r="I255" s="45" t="str">
        <f t="shared" si="41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2"/>
        <v/>
      </c>
      <c r="P255" s="40" t="str">
        <f t="shared" si="43"/>
        <v/>
      </c>
      <c r="Q255" s="40" t="str">
        <f t="shared" si="44"/>
        <v/>
      </c>
      <c r="R255" s="40" t="str">
        <f t="shared" si="45"/>
        <v/>
      </c>
      <c r="S255" s="40" t="str">
        <f t="shared" si="46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9"/>
        <v/>
      </c>
      <c r="G256" s="82"/>
      <c r="H256" s="45" t="str">
        <f t="shared" si="40"/>
        <v/>
      </c>
      <c r="I256" s="45" t="str">
        <f t="shared" si="41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2"/>
        <v/>
      </c>
      <c r="P256" s="40" t="str">
        <f t="shared" si="43"/>
        <v/>
      </c>
      <c r="Q256" s="40" t="str">
        <f t="shared" si="44"/>
        <v/>
      </c>
      <c r="R256" s="40" t="str">
        <f t="shared" si="45"/>
        <v/>
      </c>
      <c r="S256" s="40" t="str">
        <f t="shared" si="46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9"/>
        <v/>
      </c>
      <c r="G257" s="82"/>
      <c r="H257" s="45" t="str">
        <f t="shared" si="40"/>
        <v/>
      </c>
      <c r="I257" s="45" t="str">
        <f t="shared" si="41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2"/>
        <v/>
      </c>
      <c r="P257" s="40" t="str">
        <f t="shared" si="43"/>
        <v/>
      </c>
      <c r="Q257" s="40" t="str">
        <f t="shared" si="44"/>
        <v/>
      </c>
      <c r="R257" s="40" t="str">
        <f t="shared" si="45"/>
        <v/>
      </c>
      <c r="S257" s="40" t="str">
        <f t="shared" si="46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9"/>
        <v/>
      </c>
      <c r="G258" s="82"/>
      <c r="H258" s="45" t="str">
        <f t="shared" si="40"/>
        <v/>
      </c>
      <c r="I258" s="45" t="str">
        <f t="shared" si="41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2"/>
        <v/>
      </c>
      <c r="P258" s="40" t="str">
        <f t="shared" si="43"/>
        <v/>
      </c>
      <c r="Q258" s="40" t="str">
        <f t="shared" si="44"/>
        <v/>
      </c>
      <c r="R258" s="40" t="str">
        <f t="shared" si="45"/>
        <v/>
      </c>
      <c r="S258" s="40" t="str">
        <f t="shared" si="46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7">IFERROR(VLOOKUP(C259,$T$6:$U$24,2,FALSE),"")</f>
        <v/>
      </c>
      <c r="E259" s="50"/>
      <c r="F259" s="45" t="str">
        <f t="shared" si="39"/>
        <v/>
      </c>
      <c r="G259" s="82"/>
      <c r="H259" s="45" t="str">
        <f t="shared" si="40"/>
        <v/>
      </c>
      <c r="I259" s="45" t="str">
        <f t="shared" si="41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2"/>
        <v/>
      </c>
      <c r="P259" s="40" t="str">
        <f t="shared" si="43"/>
        <v/>
      </c>
      <c r="Q259" s="40" t="str">
        <f t="shared" si="44"/>
        <v/>
      </c>
      <c r="R259" s="40" t="str">
        <f t="shared" si="45"/>
        <v/>
      </c>
      <c r="S259" s="40" t="str">
        <f t="shared" si="46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7"/>
        <v/>
      </c>
      <c r="E260" s="50"/>
      <c r="F260" s="45" t="str">
        <f t="shared" ref="F260:F323" si="48">IFERROR(VLOOKUP(E260,$W$5:$Y$129,2,FALSE),"")</f>
        <v/>
      </c>
      <c r="G260" s="82"/>
      <c r="H260" s="45" t="str">
        <f t="shared" ref="H260:H323" si="49">IFERROR(VLOOKUP(G260,$AC$6:$AD$344,2,FALSE),"")</f>
        <v/>
      </c>
      <c r="I260" s="45" t="str">
        <f t="shared" ref="I260:I323" si="50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1">LEFT(E260,3)</f>
        <v/>
      </c>
      <c r="P260" s="40" t="str">
        <f t="shared" ref="P260:P323" si="52">LEFT(E260,2)</f>
        <v/>
      </c>
      <c r="Q260" s="40" t="str">
        <f t="shared" ref="Q260:Q323" si="53">LEFT(C260,3)</f>
        <v/>
      </c>
      <c r="R260" s="40" t="str">
        <f t="shared" ref="R260:R323" si="54">MID(I260,2,2)</f>
        <v/>
      </c>
      <c r="S260" s="40" t="str">
        <f t="shared" ref="S260:S323" si="55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8"/>
        <v/>
      </c>
      <c r="G261" s="82"/>
      <c r="H261" s="45" t="str">
        <f t="shared" si="49"/>
        <v/>
      </c>
      <c r="I261" s="45" t="str">
        <f t="shared" si="50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1"/>
        <v/>
      </c>
      <c r="P261" s="40" t="str">
        <f t="shared" si="52"/>
        <v/>
      </c>
      <c r="Q261" s="40" t="str">
        <f t="shared" si="53"/>
        <v/>
      </c>
      <c r="R261" s="40" t="str">
        <f t="shared" si="54"/>
        <v/>
      </c>
      <c r="S261" s="40" t="str">
        <f t="shared" si="55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8"/>
        <v/>
      </c>
      <c r="G262" s="82"/>
      <c r="H262" s="45" t="str">
        <f t="shared" si="49"/>
        <v/>
      </c>
      <c r="I262" s="45" t="str">
        <f t="shared" si="50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1"/>
        <v/>
      </c>
      <c r="P262" s="40" t="str">
        <f t="shared" si="52"/>
        <v/>
      </c>
      <c r="Q262" s="40" t="str">
        <f t="shared" si="53"/>
        <v/>
      </c>
      <c r="R262" s="40" t="str">
        <f t="shared" si="54"/>
        <v/>
      </c>
      <c r="S262" s="40" t="str">
        <f t="shared" si="55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8"/>
        <v/>
      </c>
      <c r="G263" s="82"/>
      <c r="H263" s="45" t="str">
        <f t="shared" si="49"/>
        <v/>
      </c>
      <c r="I263" s="45" t="str">
        <f t="shared" si="50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1"/>
        <v/>
      </c>
      <c r="P263" s="40" t="str">
        <f t="shared" si="52"/>
        <v/>
      </c>
      <c r="Q263" s="40" t="str">
        <f t="shared" si="53"/>
        <v/>
      </c>
      <c r="R263" s="40" t="str">
        <f t="shared" si="54"/>
        <v/>
      </c>
      <c r="S263" s="40" t="str">
        <f t="shared" si="55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8"/>
        <v/>
      </c>
      <c r="G264" s="82"/>
      <c r="H264" s="45" t="str">
        <f t="shared" si="49"/>
        <v/>
      </c>
      <c r="I264" s="45" t="str">
        <f t="shared" si="50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1"/>
        <v/>
      </c>
      <c r="P264" s="40" t="str">
        <f t="shared" si="52"/>
        <v/>
      </c>
      <c r="Q264" s="40" t="str">
        <f t="shared" si="53"/>
        <v/>
      </c>
      <c r="R264" s="40" t="str">
        <f t="shared" si="54"/>
        <v/>
      </c>
      <c r="S264" s="40" t="str">
        <f t="shared" si="55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8"/>
        <v/>
      </c>
      <c r="G265" s="82"/>
      <c r="H265" s="45" t="str">
        <f t="shared" si="49"/>
        <v/>
      </c>
      <c r="I265" s="45" t="str">
        <f t="shared" si="50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1"/>
        <v/>
      </c>
      <c r="P265" s="40" t="str">
        <f t="shared" si="52"/>
        <v/>
      </c>
      <c r="Q265" s="40" t="str">
        <f t="shared" si="53"/>
        <v/>
      </c>
      <c r="R265" s="40" t="str">
        <f t="shared" si="54"/>
        <v/>
      </c>
      <c r="S265" s="40" t="str">
        <f t="shared" si="55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8"/>
        <v/>
      </c>
      <c r="G266" s="82"/>
      <c r="H266" s="45" t="str">
        <f t="shared" si="49"/>
        <v/>
      </c>
      <c r="I266" s="45" t="str">
        <f t="shared" si="50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1"/>
        <v/>
      </c>
      <c r="P266" s="40" t="str">
        <f t="shared" si="52"/>
        <v/>
      </c>
      <c r="Q266" s="40" t="str">
        <f t="shared" si="53"/>
        <v/>
      </c>
      <c r="R266" s="40" t="str">
        <f t="shared" si="54"/>
        <v/>
      </c>
      <c r="S266" s="40" t="str">
        <f t="shared" si="55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8"/>
        <v/>
      </c>
      <c r="G267" s="82"/>
      <c r="H267" s="45" t="str">
        <f t="shared" si="49"/>
        <v/>
      </c>
      <c r="I267" s="45" t="str">
        <f t="shared" si="50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1"/>
        <v/>
      </c>
      <c r="P267" s="40" t="str">
        <f t="shared" si="52"/>
        <v/>
      </c>
      <c r="Q267" s="40" t="str">
        <f t="shared" si="53"/>
        <v/>
      </c>
      <c r="R267" s="40" t="str">
        <f t="shared" si="54"/>
        <v/>
      </c>
      <c r="S267" s="40" t="str">
        <f t="shared" si="55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8"/>
        <v/>
      </c>
      <c r="G268" s="82"/>
      <c r="H268" s="45" t="str">
        <f t="shared" si="49"/>
        <v/>
      </c>
      <c r="I268" s="45" t="str">
        <f t="shared" si="50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1"/>
        <v/>
      </c>
      <c r="P268" s="40" t="str">
        <f t="shared" si="52"/>
        <v/>
      </c>
      <c r="Q268" s="40" t="str">
        <f t="shared" si="53"/>
        <v/>
      </c>
      <c r="R268" s="40" t="str">
        <f t="shared" si="54"/>
        <v/>
      </c>
      <c r="S268" s="40" t="str">
        <f t="shared" si="55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8"/>
        <v/>
      </c>
      <c r="G269" s="82"/>
      <c r="H269" s="45" t="str">
        <f t="shared" si="49"/>
        <v/>
      </c>
      <c r="I269" s="45" t="str">
        <f t="shared" si="50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1"/>
        <v/>
      </c>
      <c r="P269" s="40" t="str">
        <f t="shared" si="52"/>
        <v/>
      </c>
      <c r="Q269" s="40" t="str">
        <f t="shared" si="53"/>
        <v/>
      </c>
      <c r="R269" s="40" t="str">
        <f t="shared" si="54"/>
        <v/>
      </c>
      <c r="S269" s="40" t="str">
        <f t="shared" si="55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8"/>
        <v/>
      </c>
      <c r="G270" s="82"/>
      <c r="H270" s="45" t="str">
        <f t="shared" si="49"/>
        <v/>
      </c>
      <c r="I270" s="45" t="str">
        <f t="shared" si="50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1"/>
        <v/>
      </c>
      <c r="P270" s="40" t="str">
        <f t="shared" si="52"/>
        <v/>
      </c>
      <c r="Q270" s="40" t="str">
        <f t="shared" si="53"/>
        <v/>
      </c>
      <c r="R270" s="40" t="str">
        <f t="shared" si="54"/>
        <v/>
      </c>
      <c r="S270" s="40" t="str">
        <f t="shared" si="55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8"/>
        <v/>
      </c>
      <c r="G271" s="82"/>
      <c r="H271" s="45" t="str">
        <f t="shared" si="49"/>
        <v/>
      </c>
      <c r="I271" s="45" t="str">
        <f t="shared" si="50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1"/>
        <v/>
      </c>
      <c r="P271" s="40" t="str">
        <f t="shared" si="52"/>
        <v/>
      </c>
      <c r="Q271" s="40" t="str">
        <f t="shared" si="53"/>
        <v/>
      </c>
      <c r="R271" s="40" t="str">
        <f t="shared" si="54"/>
        <v/>
      </c>
      <c r="S271" s="40" t="str">
        <f t="shared" si="55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8"/>
        <v/>
      </c>
      <c r="G272" s="82"/>
      <c r="H272" s="45" t="str">
        <f t="shared" si="49"/>
        <v/>
      </c>
      <c r="I272" s="45" t="str">
        <f t="shared" si="50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1"/>
        <v/>
      </c>
      <c r="P272" s="40" t="str">
        <f t="shared" si="52"/>
        <v/>
      </c>
      <c r="Q272" s="40" t="str">
        <f t="shared" si="53"/>
        <v/>
      </c>
      <c r="R272" s="40" t="str">
        <f t="shared" si="54"/>
        <v/>
      </c>
      <c r="S272" s="40" t="str">
        <f t="shared" si="55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8"/>
        <v/>
      </c>
      <c r="G273" s="82"/>
      <c r="H273" s="45" t="str">
        <f t="shared" si="49"/>
        <v/>
      </c>
      <c r="I273" s="45" t="str">
        <f t="shared" si="50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1"/>
        <v/>
      </c>
      <c r="P273" s="40" t="str">
        <f t="shared" si="52"/>
        <v/>
      </c>
      <c r="Q273" s="40" t="str">
        <f t="shared" si="53"/>
        <v/>
      </c>
      <c r="R273" s="40" t="str">
        <f t="shared" si="54"/>
        <v/>
      </c>
      <c r="S273" s="40" t="str">
        <f t="shared" si="55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8"/>
        <v/>
      </c>
      <c r="G274" s="82"/>
      <c r="H274" s="45" t="str">
        <f t="shared" si="49"/>
        <v/>
      </c>
      <c r="I274" s="45" t="str">
        <f t="shared" si="50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1"/>
        <v/>
      </c>
      <c r="P274" s="40" t="str">
        <f t="shared" si="52"/>
        <v/>
      </c>
      <c r="Q274" s="40" t="str">
        <f t="shared" si="53"/>
        <v/>
      </c>
      <c r="R274" s="40" t="str">
        <f t="shared" si="54"/>
        <v/>
      </c>
      <c r="S274" s="40" t="str">
        <f t="shared" si="55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8"/>
        <v/>
      </c>
      <c r="G275" s="82"/>
      <c r="H275" s="45" t="str">
        <f t="shared" si="49"/>
        <v/>
      </c>
      <c r="I275" s="45" t="str">
        <f t="shared" si="50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1"/>
        <v/>
      </c>
      <c r="P275" s="40" t="str">
        <f t="shared" si="52"/>
        <v/>
      </c>
      <c r="Q275" s="40" t="str">
        <f t="shared" si="53"/>
        <v/>
      </c>
      <c r="R275" s="40" t="str">
        <f t="shared" si="54"/>
        <v/>
      </c>
      <c r="S275" s="40" t="str">
        <f t="shared" si="55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8"/>
        <v/>
      </c>
      <c r="G276" s="82"/>
      <c r="H276" s="45" t="str">
        <f t="shared" si="49"/>
        <v/>
      </c>
      <c r="I276" s="45" t="str">
        <f t="shared" si="50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1"/>
        <v/>
      </c>
      <c r="P276" s="40" t="str">
        <f t="shared" si="52"/>
        <v/>
      </c>
      <c r="Q276" s="40" t="str">
        <f t="shared" si="53"/>
        <v/>
      </c>
      <c r="R276" s="40" t="str">
        <f t="shared" si="54"/>
        <v/>
      </c>
      <c r="S276" s="40" t="str">
        <f t="shared" si="55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8"/>
        <v/>
      </c>
      <c r="G277" s="82"/>
      <c r="H277" s="45" t="str">
        <f t="shared" si="49"/>
        <v/>
      </c>
      <c r="I277" s="45" t="str">
        <f t="shared" si="50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1"/>
        <v/>
      </c>
      <c r="P277" s="40" t="str">
        <f t="shared" si="52"/>
        <v/>
      </c>
      <c r="Q277" s="40" t="str">
        <f t="shared" si="53"/>
        <v/>
      </c>
      <c r="R277" s="40" t="str">
        <f t="shared" si="54"/>
        <v/>
      </c>
      <c r="S277" s="40" t="str">
        <f t="shared" si="55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8"/>
        <v/>
      </c>
      <c r="G278" s="82"/>
      <c r="H278" s="45" t="str">
        <f t="shared" si="49"/>
        <v/>
      </c>
      <c r="I278" s="45" t="str">
        <f t="shared" si="50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1"/>
        <v/>
      </c>
      <c r="P278" s="40" t="str">
        <f t="shared" si="52"/>
        <v/>
      </c>
      <c r="Q278" s="40" t="str">
        <f t="shared" si="53"/>
        <v/>
      </c>
      <c r="R278" s="40" t="str">
        <f t="shared" si="54"/>
        <v/>
      </c>
      <c r="S278" s="40" t="str">
        <f t="shared" si="55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8"/>
        <v/>
      </c>
      <c r="G279" s="82"/>
      <c r="H279" s="45" t="str">
        <f t="shared" si="49"/>
        <v/>
      </c>
      <c r="I279" s="45" t="str">
        <f t="shared" si="50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1"/>
        <v/>
      </c>
      <c r="P279" s="40" t="str">
        <f t="shared" si="52"/>
        <v/>
      </c>
      <c r="Q279" s="40" t="str">
        <f t="shared" si="53"/>
        <v/>
      </c>
      <c r="R279" s="40" t="str">
        <f t="shared" si="54"/>
        <v/>
      </c>
      <c r="S279" s="40" t="str">
        <f t="shared" si="55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8"/>
        <v/>
      </c>
      <c r="G280" s="82"/>
      <c r="H280" s="45" t="str">
        <f t="shared" si="49"/>
        <v/>
      </c>
      <c r="I280" s="45" t="str">
        <f t="shared" si="50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1"/>
        <v/>
      </c>
      <c r="P280" s="40" t="str">
        <f t="shared" si="52"/>
        <v/>
      </c>
      <c r="Q280" s="40" t="str">
        <f t="shared" si="53"/>
        <v/>
      </c>
      <c r="R280" s="40" t="str">
        <f t="shared" si="54"/>
        <v/>
      </c>
      <c r="S280" s="40" t="str">
        <f t="shared" si="55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8"/>
        <v/>
      </c>
      <c r="G281" s="82"/>
      <c r="H281" s="45" t="str">
        <f t="shared" si="49"/>
        <v/>
      </c>
      <c r="I281" s="45" t="str">
        <f t="shared" si="50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1"/>
        <v/>
      </c>
      <c r="P281" s="40" t="str">
        <f t="shared" si="52"/>
        <v/>
      </c>
      <c r="Q281" s="40" t="str">
        <f t="shared" si="53"/>
        <v/>
      </c>
      <c r="R281" s="40" t="str">
        <f t="shared" si="54"/>
        <v/>
      </c>
      <c r="S281" s="40" t="str">
        <f t="shared" si="55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8"/>
        <v/>
      </c>
      <c r="G282" s="82"/>
      <c r="H282" s="45" t="str">
        <f t="shared" si="49"/>
        <v/>
      </c>
      <c r="I282" s="45" t="str">
        <f t="shared" si="50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1"/>
        <v/>
      </c>
      <c r="P282" s="40" t="str">
        <f t="shared" si="52"/>
        <v/>
      </c>
      <c r="Q282" s="40" t="str">
        <f t="shared" si="53"/>
        <v/>
      </c>
      <c r="R282" s="40" t="str">
        <f t="shared" si="54"/>
        <v/>
      </c>
      <c r="S282" s="40" t="str">
        <f t="shared" si="55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8"/>
        <v/>
      </c>
      <c r="G283" s="82"/>
      <c r="H283" s="45" t="str">
        <f t="shared" si="49"/>
        <v/>
      </c>
      <c r="I283" s="45" t="str">
        <f t="shared" si="50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1"/>
        <v/>
      </c>
      <c r="P283" s="40" t="str">
        <f t="shared" si="52"/>
        <v/>
      </c>
      <c r="Q283" s="40" t="str">
        <f t="shared" si="53"/>
        <v/>
      </c>
      <c r="R283" s="40" t="str">
        <f t="shared" si="54"/>
        <v/>
      </c>
      <c r="S283" s="40" t="str">
        <f t="shared" si="55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8"/>
        <v/>
      </c>
      <c r="G284" s="82"/>
      <c r="H284" s="45" t="str">
        <f t="shared" si="49"/>
        <v/>
      </c>
      <c r="I284" s="45" t="str">
        <f t="shared" si="50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1"/>
        <v/>
      </c>
      <c r="P284" s="40" t="str">
        <f t="shared" si="52"/>
        <v/>
      </c>
      <c r="Q284" s="40" t="str">
        <f t="shared" si="53"/>
        <v/>
      </c>
      <c r="R284" s="40" t="str">
        <f t="shared" si="54"/>
        <v/>
      </c>
      <c r="S284" s="40" t="str">
        <f t="shared" si="55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8"/>
        <v/>
      </c>
      <c r="G285" s="82"/>
      <c r="H285" s="45" t="str">
        <f t="shared" si="49"/>
        <v/>
      </c>
      <c r="I285" s="45" t="str">
        <f t="shared" si="50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1"/>
        <v/>
      </c>
      <c r="P285" s="40" t="str">
        <f t="shared" si="52"/>
        <v/>
      </c>
      <c r="Q285" s="40" t="str">
        <f t="shared" si="53"/>
        <v/>
      </c>
      <c r="R285" s="40" t="str">
        <f t="shared" si="54"/>
        <v/>
      </c>
      <c r="S285" s="40" t="str">
        <f t="shared" si="55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8"/>
        <v/>
      </c>
      <c r="G286" s="82"/>
      <c r="H286" s="45" t="str">
        <f t="shared" si="49"/>
        <v/>
      </c>
      <c r="I286" s="45" t="str">
        <f t="shared" si="50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1"/>
        <v/>
      </c>
      <c r="P286" s="40" t="str">
        <f t="shared" si="52"/>
        <v/>
      </c>
      <c r="Q286" s="40" t="str">
        <f t="shared" si="53"/>
        <v/>
      </c>
      <c r="R286" s="40" t="str">
        <f t="shared" si="54"/>
        <v/>
      </c>
      <c r="S286" s="40" t="str">
        <f t="shared" si="55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8"/>
        <v/>
      </c>
      <c r="G287" s="82"/>
      <c r="H287" s="45" t="str">
        <f t="shared" si="49"/>
        <v/>
      </c>
      <c r="I287" s="45" t="str">
        <f t="shared" si="50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1"/>
        <v/>
      </c>
      <c r="P287" s="40" t="str">
        <f t="shared" si="52"/>
        <v/>
      </c>
      <c r="Q287" s="40" t="str">
        <f t="shared" si="53"/>
        <v/>
      </c>
      <c r="R287" s="40" t="str">
        <f t="shared" si="54"/>
        <v/>
      </c>
      <c r="S287" s="40" t="str">
        <f t="shared" si="55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8"/>
        <v/>
      </c>
      <c r="G288" s="82"/>
      <c r="H288" s="45" t="str">
        <f t="shared" si="49"/>
        <v/>
      </c>
      <c r="I288" s="45" t="str">
        <f t="shared" si="50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1"/>
        <v/>
      </c>
      <c r="P288" s="40" t="str">
        <f t="shared" si="52"/>
        <v/>
      </c>
      <c r="Q288" s="40" t="str">
        <f t="shared" si="53"/>
        <v/>
      </c>
      <c r="R288" s="40" t="str">
        <f t="shared" si="54"/>
        <v/>
      </c>
      <c r="S288" s="40" t="str">
        <f t="shared" si="55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8"/>
        <v/>
      </c>
      <c r="G289" s="82"/>
      <c r="H289" s="45" t="str">
        <f t="shared" si="49"/>
        <v/>
      </c>
      <c r="I289" s="45" t="str">
        <f t="shared" si="50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1"/>
        <v/>
      </c>
      <c r="P289" s="40" t="str">
        <f t="shared" si="52"/>
        <v/>
      </c>
      <c r="Q289" s="40" t="str">
        <f t="shared" si="53"/>
        <v/>
      </c>
      <c r="R289" s="40" t="str">
        <f t="shared" si="54"/>
        <v/>
      </c>
      <c r="S289" s="40" t="str">
        <f t="shared" si="55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8"/>
        <v/>
      </c>
      <c r="G290" s="82"/>
      <c r="H290" s="45" t="str">
        <f t="shared" si="49"/>
        <v/>
      </c>
      <c r="I290" s="45" t="str">
        <f t="shared" si="50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1"/>
        <v/>
      </c>
      <c r="P290" s="40" t="str">
        <f t="shared" si="52"/>
        <v/>
      </c>
      <c r="Q290" s="40" t="str">
        <f t="shared" si="53"/>
        <v/>
      </c>
      <c r="R290" s="40" t="str">
        <f t="shared" si="54"/>
        <v/>
      </c>
      <c r="S290" s="40" t="str">
        <f t="shared" si="55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8"/>
        <v/>
      </c>
      <c r="G291" s="82"/>
      <c r="H291" s="45" t="str">
        <f t="shared" si="49"/>
        <v/>
      </c>
      <c r="I291" s="45" t="str">
        <f t="shared" si="50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1"/>
        <v/>
      </c>
      <c r="P291" s="40" t="str">
        <f t="shared" si="52"/>
        <v/>
      </c>
      <c r="Q291" s="40" t="str">
        <f t="shared" si="53"/>
        <v/>
      </c>
      <c r="R291" s="40" t="str">
        <f t="shared" si="54"/>
        <v/>
      </c>
      <c r="S291" s="40" t="str">
        <f t="shared" si="55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8"/>
        <v/>
      </c>
      <c r="G292" s="82"/>
      <c r="H292" s="45" t="str">
        <f t="shared" si="49"/>
        <v/>
      </c>
      <c r="I292" s="45" t="str">
        <f t="shared" si="50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1"/>
        <v/>
      </c>
      <c r="P292" s="40" t="str">
        <f t="shared" si="52"/>
        <v/>
      </c>
      <c r="Q292" s="40" t="str">
        <f t="shared" si="53"/>
        <v/>
      </c>
      <c r="R292" s="40" t="str">
        <f t="shared" si="54"/>
        <v/>
      </c>
      <c r="S292" s="40" t="str">
        <f t="shared" si="55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8"/>
        <v/>
      </c>
      <c r="G293" s="82"/>
      <c r="H293" s="45" t="str">
        <f t="shared" si="49"/>
        <v/>
      </c>
      <c r="I293" s="45" t="str">
        <f t="shared" si="50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1"/>
        <v/>
      </c>
      <c r="P293" s="40" t="str">
        <f t="shared" si="52"/>
        <v/>
      </c>
      <c r="Q293" s="40" t="str">
        <f t="shared" si="53"/>
        <v/>
      </c>
      <c r="R293" s="40" t="str">
        <f t="shared" si="54"/>
        <v/>
      </c>
      <c r="S293" s="40" t="str">
        <f t="shared" si="55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8"/>
        <v/>
      </c>
      <c r="G294" s="82"/>
      <c r="H294" s="45" t="str">
        <f t="shared" si="49"/>
        <v/>
      </c>
      <c r="I294" s="45" t="str">
        <f t="shared" si="50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1"/>
        <v/>
      </c>
      <c r="P294" s="40" t="str">
        <f t="shared" si="52"/>
        <v/>
      </c>
      <c r="Q294" s="40" t="str">
        <f t="shared" si="53"/>
        <v/>
      </c>
      <c r="R294" s="40" t="str">
        <f t="shared" si="54"/>
        <v/>
      </c>
      <c r="S294" s="40" t="str">
        <f t="shared" si="55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8"/>
        <v/>
      </c>
      <c r="G295" s="82"/>
      <c r="H295" s="45" t="str">
        <f t="shared" si="49"/>
        <v/>
      </c>
      <c r="I295" s="45" t="str">
        <f t="shared" si="50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1"/>
        <v/>
      </c>
      <c r="P295" s="40" t="str">
        <f t="shared" si="52"/>
        <v/>
      </c>
      <c r="Q295" s="40" t="str">
        <f t="shared" si="53"/>
        <v/>
      </c>
      <c r="R295" s="40" t="str">
        <f t="shared" si="54"/>
        <v/>
      </c>
      <c r="S295" s="40" t="str">
        <f t="shared" si="55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8"/>
        <v/>
      </c>
      <c r="G296" s="82"/>
      <c r="H296" s="45" t="str">
        <f t="shared" si="49"/>
        <v/>
      </c>
      <c r="I296" s="45" t="str">
        <f t="shared" si="50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1"/>
        <v/>
      </c>
      <c r="P296" s="40" t="str">
        <f t="shared" si="52"/>
        <v/>
      </c>
      <c r="Q296" s="40" t="str">
        <f t="shared" si="53"/>
        <v/>
      </c>
      <c r="R296" s="40" t="str">
        <f t="shared" si="54"/>
        <v/>
      </c>
      <c r="S296" s="40" t="str">
        <f t="shared" si="55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8"/>
        <v/>
      </c>
      <c r="G297" s="82"/>
      <c r="H297" s="45" t="str">
        <f t="shared" si="49"/>
        <v/>
      </c>
      <c r="I297" s="45" t="str">
        <f t="shared" si="50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1"/>
        <v/>
      </c>
      <c r="P297" s="40" t="str">
        <f t="shared" si="52"/>
        <v/>
      </c>
      <c r="Q297" s="40" t="str">
        <f t="shared" si="53"/>
        <v/>
      </c>
      <c r="R297" s="40" t="str">
        <f t="shared" si="54"/>
        <v/>
      </c>
      <c r="S297" s="40" t="str">
        <f t="shared" si="55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8"/>
        <v/>
      </c>
      <c r="G298" s="82"/>
      <c r="H298" s="45" t="str">
        <f t="shared" si="49"/>
        <v/>
      </c>
      <c r="I298" s="45" t="str">
        <f t="shared" si="50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1"/>
        <v/>
      </c>
      <c r="P298" s="40" t="str">
        <f t="shared" si="52"/>
        <v/>
      </c>
      <c r="Q298" s="40" t="str">
        <f t="shared" si="53"/>
        <v/>
      </c>
      <c r="R298" s="40" t="str">
        <f t="shared" si="54"/>
        <v/>
      </c>
      <c r="S298" s="40" t="str">
        <f t="shared" si="55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8"/>
        <v/>
      </c>
      <c r="G299" s="82"/>
      <c r="H299" s="45" t="str">
        <f t="shared" si="49"/>
        <v/>
      </c>
      <c r="I299" s="45" t="str">
        <f t="shared" si="50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1"/>
        <v/>
      </c>
      <c r="P299" s="40" t="str">
        <f t="shared" si="52"/>
        <v/>
      </c>
      <c r="Q299" s="40" t="str">
        <f t="shared" si="53"/>
        <v/>
      </c>
      <c r="R299" s="40" t="str">
        <f t="shared" si="54"/>
        <v/>
      </c>
      <c r="S299" s="40" t="str">
        <f t="shared" si="55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8"/>
        <v/>
      </c>
      <c r="G300" s="82"/>
      <c r="H300" s="45" t="str">
        <f t="shared" si="49"/>
        <v/>
      </c>
      <c r="I300" s="45" t="str">
        <f t="shared" si="50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1"/>
        <v/>
      </c>
      <c r="P300" s="40" t="str">
        <f t="shared" si="52"/>
        <v/>
      </c>
      <c r="Q300" s="40" t="str">
        <f t="shared" si="53"/>
        <v/>
      </c>
      <c r="R300" s="40" t="str">
        <f t="shared" si="54"/>
        <v/>
      </c>
      <c r="S300" s="40" t="str">
        <f t="shared" si="55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8"/>
        <v/>
      </c>
      <c r="G301" s="82"/>
      <c r="H301" s="45" t="str">
        <f t="shared" si="49"/>
        <v/>
      </c>
      <c r="I301" s="45" t="str">
        <f t="shared" si="50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1"/>
        <v/>
      </c>
      <c r="P301" s="40" t="str">
        <f t="shared" si="52"/>
        <v/>
      </c>
      <c r="Q301" s="40" t="str">
        <f t="shared" si="53"/>
        <v/>
      </c>
      <c r="R301" s="40" t="str">
        <f t="shared" si="54"/>
        <v/>
      </c>
      <c r="S301" s="40" t="str">
        <f t="shared" si="55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8"/>
        <v/>
      </c>
      <c r="G302" s="82"/>
      <c r="H302" s="45" t="str">
        <f t="shared" si="49"/>
        <v/>
      </c>
      <c r="I302" s="45" t="str">
        <f t="shared" si="50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1"/>
        <v/>
      </c>
      <c r="P302" s="40" t="str">
        <f t="shared" si="52"/>
        <v/>
      </c>
      <c r="Q302" s="40" t="str">
        <f t="shared" si="53"/>
        <v/>
      </c>
      <c r="R302" s="40" t="str">
        <f t="shared" si="54"/>
        <v/>
      </c>
      <c r="S302" s="40" t="str">
        <f t="shared" si="55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8"/>
        <v/>
      </c>
      <c r="G303" s="82"/>
      <c r="H303" s="45" t="str">
        <f t="shared" si="49"/>
        <v/>
      </c>
      <c r="I303" s="45" t="str">
        <f t="shared" si="50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1"/>
        <v/>
      </c>
      <c r="P303" s="40" t="str">
        <f t="shared" si="52"/>
        <v/>
      </c>
      <c r="Q303" s="40" t="str">
        <f t="shared" si="53"/>
        <v/>
      </c>
      <c r="R303" s="40" t="str">
        <f t="shared" si="54"/>
        <v/>
      </c>
      <c r="S303" s="40" t="str">
        <f t="shared" si="55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47:G501 G3:G45" xr:uid="{00000000-0002-0000-0200-000003000000}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="90" zoomScaleNormal="90" zoomScaleSheetLayoutView="70" workbookViewId="0">
      <pane ySplit="2" topLeftCell="A3" activePane="bottomLeft" state="frozen"/>
      <selection pane="bottomLeft" activeCell="J30" sqref="J30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7" t="s">
        <v>656</v>
      </c>
      <c r="B1" s="387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50">
        <v>52</v>
      </c>
      <c r="B3" s="45" t="str">
        <f t="shared" ref="B3" si="0">IFERROR(VLOOKUP(A3,$V$6:$W$23,2,FALSE),"")</f>
        <v>Ostale pomoći</v>
      </c>
      <c r="C3" s="50">
        <v>3111</v>
      </c>
      <c r="D3" s="45" t="str">
        <f>IFERROR(VLOOKUP(C3,$Y$5:$AA$129,2,FALSE),"")</f>
        <v>Plaće za redovan rad</v>
      </c>
      <c r="E3" s="82" t="s">
        <v>689</v>
      </c>
      <c r="F3" s="45" t="str">
        <f>IFERROR(VLOOKUP(E3,$AE$6:$AF$1090,2,FALSE),"")</f>
        <v>NOVI PODPROJEKT</v>
      </c>
      <c r="G3" s="45" t="str">
        <f>IFERROR(VLOOKUP(E3,$AE$6:$AH$1090,4,FALSE),"")</f>
        <v>NOVI PODPROJEKT</v>
      </c>
      <c r="H3" s="81">
        <v>28154.506437768243</v>
      </c>
      <c r="I3" s="81">
        <v>28841.2017167382</v>
      </c>
      <c r="J3" s="81">
        <v>2266.0944206008585</v>
      </c>
      <c r="K3" s="93" t="s">
        <v>4827</v>
      </c>
      <c r="L3" s="92" t="s">
        <v>4828</v>
      </c>
      <c r="M3" s="92" t="s">
        <v>4829</v>
      </c>
      <c r="N3" s="93" t="s">
        <v>4830</v>
      </c>
      <c r="O3" s="218"/>
      <c r="P3" s="49"/>
      <c r="Q3" s="246" t="str">
        <f>IF(C3="","",'OPĆI DIO'!$C$1)</f>
        <v>48267 SVEUČILIŠTE SJEVER</v>
      </c>
      <c r="R3" s="40" t="str">
        <f>LEFT(C3,3)</f>
        <v>311</v>
      </c>
      <c r="S3" s="40" t="str">
        <f>LEFT(C3,2)</f>
        <v>31</v>
      </c>
      <c r="T3" s="40" t="str">
        <f>MID(G3,2,2)</f>
        <v>OV</v>
      </c>
      <c r="U3" s="40" t="str">
        <f>LEFT(C3,1)</f>
        <v>3</v>
      </c>
    </row>
    <row r="4" spans="1:34">
      <c r="A4" s="50">
        <v>52</v>
      </c>
      <c r="B4" s="45" t="str">
        <f t="shared" ref="B4:B67" si="1">IFERROR(VLOOKUP(A4,$V$6:$W$23,2,FALSE),"")</f>
        <v>Ostale pomoći</v>
      </c>
      <c r="C4" s="50">
        <v>3132</v>
      </c>
      <c r="D4" s="45" t="str">
        <f t="shared" ref="D4:D67" si="2">IFERROR(VLOOKUP(C4,$Y$5:$AA$129,2,FALSE),"")</f>
        <v>Doprinosi za obvezno zdravstveno osiguranje</v>
      </c>
      <c r="E4" s="82" t="s">
        <v>689</v>
      </c>
      <c r="F4" s="45" t="str">
        <f t="shared" ref="F4:F67" si="3">IFERROR(VLOOKUP(E4,$AE$6:$AF$1090,2,FALSE),"")</f>
        <v>NOVI PODPROJEKT</v>
      </c>
      <c r="G4" s="45" t="str">
        <f t="shared" ref="G4:G67" si="4">IFERROR(VLOOKUP(E4,$AE$6:$AH$1090,4,FALSE),"")</f>
        <v>NOVI PODPROJEKT</v>
      </c>
      <c r="H4" s="81">
        <v>4645.4935622317598</v>
      </c>
      <c r="I4" s="81">
        <v>4758.7982832618027</v>
      </c>
      <c r="J4" s="81">
        <v>373.90557939914163</v>
      </c>
      <c r="K4" s="93" t="s">
        <v>4827</v>
      </c>
      <c r="L4" s="92" t="s">
        <v>4828</v>
      </c>
      <c r="M4" s="92" t="s">
        <v>4829</v>
      </c>
      <c r="N4" s="93" t="s">
        <v>4830</v>
      </c>
      <c r="O4" s="218"/>
      <c r="P4" s="49"/>
      <c r="Q4" s="246" t="str">
        <f>IF(C4="","",'OPĆI DIO'!$C$1)</f>
        <v>48267 SVEUČILIŠTE SJEVER</v>
      </c>
      <c r="R4" s="40" t="str">
        <f t="shared" ref="R4:R67" si="5">LEFT(C4,3)</f>
        <v>313</v>
      </c>
      <c r="S4" s="40" t="str">
        <f t="shared" ref="S4:S67" si="6">LEFT(C4,2)</f>
        <v>31</v>
      </c>
      <c r="T4" s="40" t="str">
        <f t="shared" ref="T4:T67" si="7">MID(G4,2,2)</f>
        <v>OV</v>
      </c>
      <c r="U4" s="40" t="str">
        <f t="shared" ref="U4:U67" si="8">LEFT(C4,1)</f>
        <v>3</v>
      </c>
      <c r="Y4" s="46"/>
      <c r="Z4" s="46"/>
    </row>
    <row r="5" spans="1:34">
      <c r="A5" s="50">
        <v>52</v>
      </c>
      <c r="B5" s="45" t="str">
        <f t="shared" si="1"/>
        <v>Ostale pomoći</v>
      </c>
      <c r="C5" s="50">
        <v>3211</v>
      </c>
      <c r="D5" s="45" t="str">
        <f t="shared" si="2"/>
        <v>Službena putovanja</v>
      </c>
      <c r="E5" s="82" t="s">
        <v>689</v>
      </c>
      <c r="F5" s="45" t="str">
        <f t="shared" si="3"/>
        <v>NOVI PODPROJEKT</v>
      </c>
      <c r="G5" s="45" t="str">
        <f t="shared" si="4"/>
        <v>NOVI PODPROJEKT</v>
      </c>
      <c r="H5" s="81">
        <v>13280</v>
      </c>
      <c r="I5" s="81">
        <v>13280</v>
      </c>
      <c r="J5" s="81">
        <v>1040</v>
      </c>
      <c r="K5" s="93" t="s">
        <v>4827</v>
      </c>
      <c r="L5" s="92" t="s">
        <v>4828</v>
      </c>
      <c r="M5" s="92">
        <v>45717</v>
      </c>
      <c r="N5" s="93" t="s">
        <v>4830</v>
      </c>
      <c r="O5" s="218"/>
      <c r="P5" s="49"/>
      <c r="Q5" s="246" t="str">
        <f>IF(C5="","",'OPĆI DIO'!$C$1)</f>
        <v>48267 SVEUČILIŠTE SJEVER</v>
      </c>
      <c r="R5" s="40" t="str">
        <f t="shared" si="5"/>
        <v>321</v>
      </c>
      <c r="S5" s="40" t="str">
        <f t="shared" si="6"/>
        <v>32</v>
      </c>
      <c r="T5" s="40" t="str">
        <f t="shared" si="7"/>
        <v>OV</v>
      </c>
      <c r="U5" s="40" t="str">
        <f t="shared" si="8"/>
        <v>3</v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50"/>
      <c r="B6" s="45" t="str">
        <f t="shared" si="1"/>
        <v/>
      </c>
      <c r="C6" s="82"/>
      <c r="D6" s="45" t="str">
        <f t="shared" si="2"/>
        <v/>
      </c>
      <c r="E6" s="82"/>
      <c r="F6" s="45" t="str">
        <f t="shared" si="3"/>
        <v/>
      </c>
      <c r="G6" s="45" t="str">
        <f t="shared" si="4"/>
        <v/>
      </c>
      <c r="H6" s="224"/>
      <c r="I6" s="224"/>
      <c r="J6" s="224"/>
      <c r="K6" s="93"/>
      <c r="L6" s="92"/>
      <c r="M6" s="92"/>
      <c r="N6" s="93"/>
      <c r="O6" s="218"/>
      <c r="P6" s="49"/>
      <c r="Q6" s="246" t="str">
        <f>IF(C6="","",'OPĆI DIO'!$C$1)</f>
        <v/>
      </c>
      <c r="R6" s="40" t="str">
        <f t="shared" si="5"/>
        <v/>
      </c>
      <c r="S6" s="40" t="str">
        <f t="shared" si="6"/>
        <v/>
      </c>
      <c r="T6" s="40" t="str">
        <f t="shared" si="7"/>
        <v/>
      </c>
      <c r="U6" s="40" t="str">
        <f t="shared" si="8"/>
        <v/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50">
        <v>51</v>
      </c>
      <c r="B7" s="45" t="str">
        <f t="shared" si="1"/>
        <v>Pomoći EU</v>
      </c>
      <c r="C7" s="50">
        <v>3211</v>
      </c>
      <c r="D7" s="45" t="str">
        <f t="shared" si="2"/>
        <v>Službena putovanja</v>
      </c>
      <c r="E7" s="82" t="s">
        <v>4615</v>
      </c>
      <c r="F7" s="45" t="str">
        <f t="shared" si="3"/>
        <v>Ocellus Information Systems AB</v>
      </c>
      <c r="G7" s="45" t="str">
        <f t="shared" si="4"/>
        <v>0942</v>
      </c>
      <c r="H7" s="81">
        <v>4500</v>
      </c>
      <c r="I7" s="81">
        <v>500</v>
      </c>
      <c r="J7" s="81">
        <v>0</v>
      </c>
      <c r="K7" s="93" t="s">
        <v>4831</v>
      </c>
      <c r="L7" s="92" t="s">
        <v>4832</v>
      </c>
      <c r="M7" s="92" t="s">
        <v>4833</v>
      </c>
      <c r="N7" s="93" t="s">
        <v>4616</v>
      </c>
      <c r="O7" s="218"/>
      <c r="P7" s="49"/>
      <c r="Q7" s="246" t="str">
        <f>IF(C7="","",'OPĆI DIO'!$C$1)</f>
        <v>48267 SVEUČILIŠTE SJEVER</v>
      </c>
      <c r="R7" s="40" t="str">
        <f t="shared" si="5"/>
        <v>321</v>
      </c>
      <c r="S7" s="40" t="str">
        <f t="shared" si="6"/>
        <v>32</v>
      </c>
      <c r="T7" s="40" t="str">
        <f t="shared" si="7"/>
        <v>94</v>
      </c>
      <c r="U7" s="40" t="str">
        <f t="shared" si="8"/>
        <v>3</v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50">
        <v>51</v>
      </c>
      <c r="B8" s="45" t="str">
        <f t="shared" si="1"/>
        <v>Pomoći EU</v>
      </c>
      <c r="C8" s="50">
        <v>3213</v>
      </c>
      <c r="D8" s="45" t="str">
        <f t="shared" si="2"/>
        <v>Stručno usavršavanje zaposlenika</v>
      </c>
      <c r="E8" s="82" t="s">
        <v>4615</v>
      </c>
      <c r="F8" s="45" t="str">
        <f t="shared" si="3"/>
        <v>Ocellus Information Systems AB</v>
      </c>
      <c r="G8" s="45" t="str">
        <f t="shared" si="4"/>
        <v>0942</v>
      </c>
      <c r="H8" s="81">
        <v>3500</v>
      </c>
      <c r="I8" s="81">
        <v>500</v>
      </c>
      <c r="J8" s="81">
        <v>0</v>
      </c>
      <c r="K8" s="93" t="s">
        <v>4831</v>
      </c>
      <c r="L8" s="92" t="s">
        <v>4832</v>
      </c>
      <c r="M8" s="92" t="s">
        <v>4833</v>
      </c>
      <c r="N8" s="93" t="s">
        <v>4616</v>
      </c>
      <c r="O8" s="218"/>
      <c r="P8" s="49"/>
      <c r="Q8" s="246" t="str">
        <f>IF(C8="","",'OPĆI DIO'!$C$1)</f>
        <v>48267 SVEUČILIŠTE SJEVER</v>
      </c>
      <c r="R8" s="40" t="str">
        <f t="shared" si="5"/>
        <v>321</v>
      </c>
      <c r="S8" s="40" t="str">
        <f t="shared" si="6"/>
        <v>32</v>
      </c>
      <c r="T8" s="40" t="str">
        <f t="shared" si="7"/>
        <v>94</v>
      </c>
      <c r="U8" s="40" t="str">
        <f t="shared" si="8"/>
        <v>3</v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50">
        <v>51</v>
      </c>
      <c r="B9" s="45" t="str">
        <f t="shared" si="1"/>
        <v>Pomoći EU</v>
      </c>
      <c r="C9" s="50">
        <v>3237</v>
      </c>
      <c r="D9" s="45" t="str">
        <f t="shared" si="2"/>
        <v>Intelektualne i osobne usluge</v>
      </c>
      <c r="E9" s="82" t="s">
        <v>4615</v>
      </c>
      <c r="F9" s="45" t="str">
        <f t="shared" si="3"/>
        <v>Ocellus Information Systems AB</v>
      </c>
      <c r="G9" s="45" t="str">
        <f t="shared" si="4"/>
        <v>0942</v>
      </c>
      <c r="H9" s="81">
        <v>1500</v>
      </c>
      <c r="I9" s="81">
        <v>0</v>
      </c>
      <c r="J9" s="81">
        <v>0</v>
      </c>
      <c r="K9" s="93" t="s">
        <v>4831</v>
      </c>
      <c r="L9" s="92" t="s">
        <v>4832</v>
      </c>
      <c r="M9" s="92" t="s">
        <v>4833</v>
      </c>
      <c r="N9" s="93" t="s">
        <v>4616</v>
      </c>
      <c r="O9" s="218"/>
      <c r="P9" s="49"/>
      <c r="Q9" s="246" t="str">
        <f>IF(C9="","",'OPĆI DIO'!$C$1)</f>
        <v>48267 SVEUČILIŠTE SJEVER</v>
      </c>
      <c r="R9" s="40" t="str">
        <f t="shared" si="5"/>
        <v>323</v>
      </c>
      <c r="S9" s="40" t="str">
        <f t="shared" si="6"/>
        <v>32</v>
      </c>
      <c r="T9" s="40" t="str">
        <f t="shared" si="7"/>
        <v>94</v>
      </c>
      <c r="U9" s="40" t="str">
        <f t="shared" si="8"/>
        <v>3</v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50">
        <v>51</v>
      </c>
      <c r="B10" s="45" t="str">
        <f t="shared" si="1"/>
        <v>Pomoći EU</v>
      </c>
      <c r="C10" s="50">
        <v>3293</v>
      </c>
      <c r="D10" s="45" t="str">
        <f t="shared" si="2"/>
        <v>Reprezentacija</v>
      </c>
      <c r="E10" s="82" t="s">
        <v>4615</v>
      </c>
      <c r="F10" s="45" t="str">
        <f t="shared" si="3"/>
        <v>Ocellus Information Systems AB</v>
      </c>
      <c r="G10" s="45" t="str">
        <f t="shared" si="4"/>
        <v>0942</v>
      </c>
      <c r="H10" s="81">
        <v>1500</v>
      </c>
      <c r="I10" s="81">
        <v>0</v>
      </c>
      <c r="J10" s="81">
        <v>0</v>
      </c>
      <c r="K10" s="93" t="s">
        <v>4831</v>
      </c>
      <c r="L10" s="92" t="s">
        <v>4832</v>
      </c>
      <c r="M10" s="92" t="s">
        <v>4833</v>
      </c>
      <c r="N10" s="93" t="s">
        <v>4616</v>
      </c>
      <c r="O10" s="218"/>
      <c r="P10" s="49"/>
      <c r="Q10" s="246" t="str">
        <f>IF(C10="","",'OPĆI DIO'!$C$1)</f>
        <v>48267 SVEUČILIŠTE SJEVER</v>
      </c>
      <c r="R10" s="40" t="str">
        <f t="shared" si="5"/>
        <v>329</v>
      </c>
      <c r="S10" s="40" t="str">
        <f t="shared" si="6"/>
        <v>32</v>
      </c>
      <c r="T10" s="40" t="str">
        <f t="shared" si="7"/>
        <v>94</v>
      </c>
      <c r="U10" s="40" t="str">
        <f t="shared" si="8"/>
        <v>3</v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50">
        <v>51</v>
      </c>
      <c r="B11" s="45" t="str">
        <f t="shared" si="1"/>
        <v>Pomoći EU</v>
      </c>
      <c r="C11" s="50">
        <v>3239</v>
      </c>
      <c r="D11" s="45" t="str">
        <f t="shared" si="2"/>
        <v>Ostale usluge</v>
      </c>
      <c r="E11" s="82" t="s">
        <v>4615</v>
      </c>
      <c r="F11" s="45" t="str">
        <f t="shared" si="3"/>
        <v>Ocellus Information Systems AB</v>
      </c>
      <c r="G11" s="45" t="str">
        <f t="shared" si="4"/>
        <v>0942</v>
      </c>
      <c r="H11" s="81">
        <v>2000</v>
      </c>
      <c r="I11" s="81">
        <v>0</v>
      </c>
      <c r="J11" s="81">
        <v>0</v>
      </c>
      <c r="K11" s="93" t="s">
        <v>4831</v>
      </c>
      <c r="L11" s="92" t="s">
        <v>4832</v>
      </c>
      <c r="M11" s="92" t="s">
        <v>4833</v>
      </c>
      <c r="N11" s="93" t="s">
        <v>4616</v>
      </c>
      <c r="O11" s="218"/>
      <c r="P11" s="49"/>
      <c r="Q11" s="246" t="str">
        <f>IF(C11="","",'OPĆI DIO'!$C$1)</f>
        <v>48267 SVEUČILIŠTE SJEVER</v>
      </c>
      <c r="R11" s="40" t="str">
        <f t="shared" si="5"/>
        <v>323</v>
      </c>
      <c r="S11" s="40" t="str">
        <f t="shared" si="6"/>
        <v>32</v>
      </c>
      <c r="T11" s="40" t="str">
        <f t="shared" si="7"/>
        <v>94</v>
      </c>
      <c r="U11" s="40" t="str">
        <f t="shared" si="8"/>
        <v>3</v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50">
        <v>51</v>
      </c>
      <c r="B12" s="45" t="str">
        <f t="shared" si="1"/>
        <v>Pomoći EU</v>
      </c>
      <c r="C12" s="50">
        <v>3233</v>
      </c>
      <c r="D12" s="45" t="str">
        <f t="shared" si="2"/>
        <v>Usluge promidžbe i informiranja</v>
      </c>
      <c r="E12" s="82" t="s">
        <v>4615</v>
      </c>
      <c r="F12" s="45" t="str">
        <f t="shared" si="3"/>
        <v>Ocellus Information Systems AB</v>
      </c>
      <c r="G12" s="45" t="str">
        <f t="shared" si="4"/>
        <v>0942</v>
      </c>
      <c r="H12" s="81">
        <v>2620</v>
      </c>
      <c r="I12" s="81">
        <v>0</v>
      </c>
      <c r="J12" s="81">
        <v>0</v>
      </c>
      <c r="K12" s="93" t="s">
        <v>4831</v>
      </c>
      <c r="L12" s="92" t="s">
        <v>4832</v>
      </c>
      <c r="M12" s="92" t="s">
        <v>4833</v>
      </c>
      <c r="N12" s="93" t="s">
        <v>4616</v>
      </c>
      <c r="O12" s="218"/>
      <c r="P12" s="49"/>
      <c r="Q12" s="246" t="str">
        <f>IF(C12="","",'OPĆI DIO'!$C$1)</f>
        <v>48267 SVEUČILIŠTE SJEVER</v>
      </c>
      <c r="R12" s="40" t="str">
        <f t="shared" si="5"/>
        <v>323</v>
      </c>
      <c r="S12" s="40" t="str">
        <f t="shared" si="6"/>
        <v>32</v>
      </c>
      <c r="T12" s="40" t="str">
        <f t="shared" si="7"/>
        <v>94</v>
      </c>
      <c r="U12" s="40" t="str">
        <f t="shared" si="8"/>
        <v>3</v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50"/>
      <c r="B13" s="45" t="str">
        <f t="shared" si="1"/>
        <v/>
      </c>
      <c r="C13" s="82"/>
      <c r="D13" s="45" t="str">
        <f t="shared" si="2"/>
        <v/>
      </c>
      <c r="E13" s="82"/>
      <c r="F13" s="45" t="str">
        <f t="shared" si="3"/>
        <v/>
      </c>
      <c r="G13" s="45" t="str">
        <f t="shared" si="4"/>
        <v/>
      </c>
      <c r="H13" s="224"/>
      <c r="I13" s="224"/>
      <c r="J13" s="224"/>
      <c r="K13" s="93"/>
      <c r="L13" s="92"/>
      <c r="M13" s="92"/>
      <c r="N13" s="93"/>
      <c r="O13" s="218"/>
      <c r="P13" s="49"/>
      <c r="Q13" s="246" t="str">
        <f>IF(C13="","",'OPĆI DIO'!$C$1)</f>
        <v/>
      </c>
      <c r="R13" s="40" t="str">
        <f t="shared" si="5"/>
        <v/>
      </c>
      <c r="S13" s="40" t="str">
        <f t="shared" si="6"/>
        <v/>
      </c>
      <c r="T13" s="40" t="str">
        <f t="shared" si="7"/>
        <v/>
      </c>
      <c r="U13" s="40" t="str">
        <f t="shared" si="8"/>
        <v/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50">
        <v>52</v>
      </c>
      <c r="B14" s="45" t="str">
        <f t="shared" si="1"/>
        <v>Ostale pomoći</v>
      </c>
      <c r="C14" s="50">
        <v>3211</v>
      </c>
      <c r="D14" s="45" t="str">
        <f t="shared" si="2"/>
        <v>Službena putovanja</v>
      </c>
      <c r="E14" s="82" t="s">
        <v>737</v>
      </c>
      <c r="F14" s="45" t="str">
        <f t="shared" si="3"/>
        <v>ERASMUS+  Poticanje mobilnosti studenata i znanstveno-nastavnog osoblja</v>
      </c>
      <c r="G14" s="45" t="str">
        <f t="shared" si="4"/>
        <v>0942</v>
      </c>
      <c r="H14" s="81">
        <v>11680</v>
      </c>
      <c r="I14" s="81">
        <v>4593</v>
      </c>
      <c r="J14" s="81">
        <v>0</v>
      </c>
      <c r="K14" s="93" t="s">
        <v>4834</v>
      </c>
      <c r="L14" s="92" t="s">
        <v>4835</v>
      </c>
      <c r="M14" s="92" t="s">
        <v>4836</v>
      </c>
      <c r="N14" s="93" t="s">
        <v>4837</v>
      </c>
      <c r="O14" s="218"/>
      <c r="P14" s="49"/>
      <c r="Q14" s="246" t="str">
        <f>IF(C14="","",'OPĆI DIO'!$C$1)</f>
        <v>48267 SVEUČILIŠTE SJEVER</v>
      </c>
      <c r="R14" s="40" t="str">
        <f t="shared" si="5"/>
        <v>321</v>
      </c>
      <c r="S14" s="40" t="str">
        <f t="shared" si="6"/>
        <v>32</v>
      </c>
      <c r="T14" s="40" t="str">
        <f t="shared" si="7"/>
        <v>94</v>
      </c>
      <c r="U14" s="40" t="str">
        <f t="shared" si="8"/>
        <v>3</v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50">
        <v>52</v>
      </c>
      <c r="B15" s="45" t="str">
        <f t="shared" si="1"/>
        <v>Ostale pomoći</v>
      </c>
      <c r="C15" s="50">
        <v>3241</v>
      </c>
      <c r="D15" s="45" t="str">
        <f t="shared" si="2"/>
        <v>Naknade troškova osobama izvan radnog odnosa</v>
      </c>
      <c r="E15" s="82" t="s">
        <v>737</v>
      </c>
      <c r="F15" s="45" t="str">
        <f t="shared" si="3"/>
        <v>ERASMUS+  Poticanje mobilnosti studenata i znanstveno-nastavnog osoblja</v>
      </c>
      <c r="G15" s="45" t="str">
        <f t="shared" si="4"/>
        <v>0942</v>
      </c>
      <c r="H15" s="81">
        <v>20055</v>
      </c>
      <c r="I15" s="81">
        <v>10520</v>
      </c>
      <c r="J15" s="81">
        <v>0</v>
      </c>
      <c r="K15" s="93" t="s">
        <v>4834</v>
      </c>
      <c r="L15" s="92" t="s">
        <v>4835</v>
      </c>
      <c r="M15" s="92" t="s">
        <v>4836</v>
      </c>
      <c r="N15" s="93" t="s">
        <v>4837</v>
      </c>
      <c r="O15" s="218"/>
      <c r="P15" s="49"/>
      <c r="Q15" s="246" t="str">
        <f>IF(C15="","",'OPĆI DIO'!$C$1)</f>
        <v>48267 SVEUČILIŠTE SJEVER</v>
      </c>
      <c r="R15" s="40" t="str">
        <f t="shared" si="5"/>
        <v>324</v>
      </c>
      <c r="S15" s="40" t="str">
        <f t="shared" si="6"/>
        <v>32</v>
      </c>
      <c r="T15" s="40" t="str">
        <f t="shared" si="7"/>
        <v>94</v>
      </c>
      <c r="U15" s="40" t="str">
        <f t="shared" si="8"/>
        <v>3</v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50">
        <v>52</v>
      </c>
      <c r="B16" s="45" t="str">
        <f t="shared" si="1"/>
        <v>Ostale pomoći</v>
      </c>
      <c r="C16" s="50">
        <v>3237</v>
      </c>
      <c r="D16" s="45" t="str">
        <f t="shared" si="2"/>
        <v>Intelektualne i osobne usluge</v>
      </c>
      <c r="E16" s="82" t="s">
        <v>737</v>
      </c>
      <c r="F16" s="45" t="str">
        <f t="shared" si="3"/>
        <v>ERASMUS+  Poticanje mobilnosti studenata i znanstveno-nastavnog osoblja</v>
      </c>
      <c r="G16" s="45" t="str">
        <f t="shared" si="4"/>
        <v>0942</v>
      </c>
      <c r="H16" s="81">
        <v>7000</v>
      </c>
      <c r="I16" s="81">
        <v>9000</v>
      </c>
      <c r="J16" s="81">
        <v>0</v>
      </c>
      <c r="K16" s="93" t="s">
        <v>4834</v>
      </c>
      <c r="L16" s="92" t="s">
        <v>4835</v>
      </c>
      <c r="M16" s="92" t="s">
        <v>4836</v>
      </c>
      <c r="N16" s="93" t="s">
        <v>4837</v>
      </c>
      <c r="O16" s="218"/>
      <c r="P16" s="49"/>
      <c r="Q16" s="246" t="str">
        <f>IF(C16="","",'OPĆI DIO'!$C$1)</f>
        <v>48267 SVEUČILIŠTE SJEVER</v>
      </c>
      <c r="R16" s="40" t="str">
        <f t="shared" si="5"/>
        <v>323</v>
      </c>
      <c r="S16" s="40" t="str">
        <f t="shared" si="6"/>
        <v>32</v>
      </c>
      <c r="T16" s="40" t="str">
        <f t="shared" si="7"/>
        <v>94</v>
      </c>
      <c r="U16" s="40" t="str">
        <f t="shared" si="8"/>
        <v>3</v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50">
        <v>52</v>
      </c>
      <c r="B17" s="45" t="str">
        <f t="shared" si="1"/>
        <v>Ostale pomoći</v>
      </c>
      <c r="C17" s="50">
        <v>3211</v>
      </c>
      <c r="D17" s="45" t="str">
        <f t="shared" si="2"/>
        <v>Službena putovanja</v>
      </c>
      <c r="E17" s="82" t="s">
        <v>737</v>
      </c>
      <c r="F17" s="45" t="str">
        <f t="shared" si="3"/>
        <v>ERASMUS+  Poticanje mobilnosti studenata i znanstveno-nastavnog osoblja</v>
      </c>
      <c r="G17" s="45" t="str">
        <f t="shared" si="4"/>
        <v>0942</v>
      </c>
      <c r="H17" s="81">
        <v>10875</v>
      </c>
      <c r="I17" s="81">
        <v>0</v>
      </c>
      <c r="J17" s="81">
        <v>0</v>
      </c>
      <c r="K17" s="93" t="s">
        <v>4838</v>
      </c>
      <c r="L17" s="92" t="s">
        <v>4839</v>
      </c>
      <c r="M17" s="92" t="s">
        <v>4840</v>
      </c>
      <c r="N17" s="93" t="s">
        <v>4837</v>
      </c>
      <c r="O17" s="218"/>
      <c r="P17" s="49"/>
      <c r="Q17" s="246" t="str">
        <f>IF(C17="","",'OPĆI DIO'!$C$1)</f>
        <v>48267 SVEUČILIŠTE SJEVER</v>
      </c>
      <c r="R17" s="40" t="str">
        <f t="shared" si="5"/>
        <v>321</v>
      </c>
      <c r="S17" s="40" t="str">
        <f t="shared" si="6"/>
        <v>32</v>
      </c>
      <c r="T17" s="40" t="str">
        <f t="shared" si="7"/>
        <v>94</v>
      </c>
      <c r="U17" s="40" t="str">
        <f t="shared" si="8"/>
        <v>3</v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50">
        <v>52</v>
      </c>
      <c r="B18" s="45" t="str">
        <f t="shared" si="1"/>
        <v>Ostale pomoći</v>
      </c>
      <c r="C18" s="50">
        <v>3241</v>
      </c>
      <c r="D18" s="45" t="str">
        <f t="shared" si="2"/>
        <v>Naknade troškova osobama izvan radnog odnosa</v>
      </c>
      <c r="E18" s="82" t="s">
        <v>737</v>
      </c>
      <c r="F18" s="45" t="str">
        <f t="shared" si="3"/>
        <v>ERASMUS+  Poticanje mobilnosti studenata i znanstveno-nastavnog osoblja</v>
      </c>
      <c r="G18" s="45" t="str">
        <f t="shared" si="4"/>
        <v>0942</v>
      </c>
      <c r="H18" s="81">
        <v>29887</v>
      </c>
      <c r="I18" s="81">
        <v>0</v>
      </c>
      <c r="J18" s="81">
        <v>0</v>
      </c>
      <c r="K18" s="93" t="s">
        <v>4838</v>
      </c>
      <c r="L18" s="92" t="s">
        <v>4839</v>
      </c>
      <c r="M18" s="92" t="s">
        <v>4840</v>
      </c>
      <c r="N18" s="93" t="s">
        <v>4837</v>
      </c>
      <c r="O18" s="218"/>
      <c r="P18" s="49"/>
      <c r="Q18" s="246" t="str">
        <f>IF(C18="","",'OPĆI DIO'!$C$1)</f>
        <v>48267 SVEUČILIŠTE SJEVER</v>
      </c>
      <c r="R18" s="40" t="str">
        <f t="shared" si="5"/>
        <v>324</v>
      </c>
      <c r="S18" s="40" t="str">
        <f t="shared" si="6"/>
        <v>32</v>
      </c>
      <c r="T18" s="40" t="str">
        <f t="shared" si="7"/>
        <v>94</v>
      </c>
      <c r="U18" s="40" t="str">
        <f t="shared" si="8"/>
        <v>3</v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50">
        <v>52</v>
      </c>
      <c r="B19" s="45" t="str">
        <f t="shared" si="1"/>
        <v>Ostale pomoći</v>
      </c>
      <c r="C19" s="50">
        <v>3237</v>
      </c>
      <c r="D19" s="45" t="str">
        <f t="shared" si="2"/>
        <v>Intelektualne i osobne usluge</v>
      </c>
      <c r="E19" s="82" t="s">
        <v>737</v>
      </c>
      <c r="F19" s="45" t="str">
        <f t="shared" si="3"/>
        <v>ERASMUS+  Poticanje mobilnosti studenata i znanstveno-nastavnog osoblja</v>
      </c>
      <c r="G19" s="45" t="str">
        <f t="shared" si="4"/>
        <v>0942</v>
      </c>
      <c r="H19" s="81">
        <v>11600</v>
      </c>
      <c r="I19" s="81">
        <v>0</v>
      </c>
      <c r="J19" s="81">
        <v>0</v>
      </c>
      <c r="K19" s="93" t="s">
        <v>4838</v>
      </c>
      <c r="L19" s="92" t="s">
        <v>4839</v>
      </c>
      <c r="M19" s="92" t="s">
        <v>4841</v>
      </c>
      <c r="N19" s="93" t="s">
        <v>4837</v>
      </c>
      <c r="O19" s="218"/>
      <c r="P19" s="49"/>
      <c r="Q19" s="246" t="str">
        <f>IF(C19="","",'OPĆI DIO'!$C$1)</f>
        <v>48267 SVEUČILIŠTE SJEVER</v>
      </c>
      <c r="R19" s="40" t="str">
        <f t="shared" si="5"/>
        <v>323</v>
      </c>
      <c r="S19" s="40" t="str">
        <f t="shared" si="6"/>
        <v>32</v>
      </c>
      <c r="T19" s="40" t="str">
        <f t="shared" si="7"/>
        <v>94</v>
      </c>
      <c r="U19" s="40" t="str">
        <f t="shared" si="8"/>
        <v>3</v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50">
        <v>52</v>
      </c>
      <c r="B20" s="45" t="str">
        <f t="shared" si="1"/>
        <v>Ostale pomoći</v>
      </c>
      <c r="C20" s="50">
        <v>3211</v>
      </c>
      <c r="D20" s="45" t="str">
        <f t="shared" si="2"/>
        <v>Službena putovanja</v>
      </c>
      <c r="E20" s="82" t="s">
        <v>737</v>
      </c>
      <c r="F20" s="45" t="str">
        <f t="shared" si="3"/>
        <v>ERASMUS+  Poticanje mobilnosti studenata i znanstveno-nastavnog osoblja</v>
      </c>
      <c r="G20" s="45" t="str">
        <f t="shared" si="4"/>
        <v>0942</v>
      </c>
      <c r="H20" s="81">
        <v>11520</v>
      </c>
      <c r="I20" s="81">
        <v>16986</v>
      </c>
      <c r="J20" s="81">
        <v>13249</v>
      </c>
      <c r="K20" s="93" t="s">
        <v>4842</v>
      </c>
      <c r="L20" s="92" t="s">
        <v>4843</v>
      </c>
      <c r="M20" s="92" t="s">
        <v>4844</v>
      </c>
      <c r="N20" s="93" t="s">
        <v>4837</v>
      </c>
      <c r="O20" s="218"/>
      <c r="P20" s="49"/>
      <c r="Q20" s="246" t="str">
        <f>IF(C20="","",'OPĆI DIO'!$C$1)</f>
        <v>48267 SVEUČILIŠTE SJEVER</v>
      </c>
      <c r="R20" s="40" t="str">
        <f t="shared" si="5"/>
        <v>321</v>
      </c>
      <c r="S20" s="40" t="str">
        <f t="shared" si="6"/>
        <v>32</v>
      </c>
      <c r="T20" s="40" t="str">
        <f t="shared" si="7"/>
        <v>94</v>
      </c>
      <c r="U20" s="40" t="str">
        <f t="shared" si="8"/>
        <v>3</v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50">
        <v>52</v>
      </c>
      <c r="B21" s="45" t="str">
        <f t="shared" si="1"/>
        <v>Ostale pomoći</v>
      </c>
      <c r="C21" s="50">
        <v>3241</v>
      </c>
      <c r="D21" s="45" t="str">
        <f t="shared" si="2"/>
        <v>Naknade troškova osobama izvan radnog odnosa</v>
      </c>
      <c r="E21" s="82" t="s">
        <v>737</v>
      </c>
      <c r="F21" s="45" t="str">
        <f t="shared" si="3"/>
        <v>ERASMUS+  Poticanje mobilnosti studenata i znanstveno-nastavnog osoblja</v>
      </c>
      <c r="G21" s="45" t="str">
        <f t="shared" si="4"/>
        <v>0942</v>
      </c>
      <c r="H21" s="81">
        <v>3500</v>
      </c>
      <c r="I21" s="81">
        <v>49655</v>
      </c>
      <c r="J21" s="81">
        <v>37910</v>
      </c>
      <c r="K21" s="93" t="s">
        <v>4842</v>
      </c>
      <c r="L21" s="92" t="s">
        <v>4843</v>
      </c>
      <c r="M21" s="92" t="s">
        <v>4844</v>
      </c>
      <c r="N21" s="93" t="s">
        <v>4837</v>
      </c>
      <c r="O21" s="218"/>
      <c r="P21" s="49"/>
      <c r="Q21" s="246" t="str">
        <f>IF(C21="","",'OPĆI DIO'!$C$1)</f>
        <v>48267 SVEUČILIŠTE SJEVER</v>
      </c>
      <c r="R21" s="40" t="str">
        <f t="shared" si="5"/>
        <v>324</v>
      </c>
      <c r="S21" s="40" t="str">
        <f t="shared" si="6"/>
        <v>32</v>
      </c>
      <c r="T21" s="40" t="str">
        <f t="shared" si="7"/>
        <v>94</v>
      </c>
      <c r="U21" s="40" t="str">
        <f t="shared" si="8"/>
        <v>3</v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50">
        <v>52</v>
      </c>
      <c r="B22" s="45" t="str">
        <f t="shared" si="1"/>
        <v>Ostale pomoći</v>
      </c>
      <c r="C22" s="50">
        <v>3237</v>
      </c>
      <c r="D22" s="45" t="str">
        <f t="shared" si="2"/>
        <v>Intelektualne i osobne usluge</v>
      </c>
      <c r="E22" s="82" t="s">
        <v>737</v>
      </c>
      <c r="F22" s="45" t="str">
        <f t="shared" si="3"/>
        <v>ERASMUS+  Poticanje mobilnosti studenata i znanstveno-nastavnog osoblja</v>
      </c>
      <c r="G22" s="45" t="str">
        <f t="shared" si="4"/>
        <v>0942</v>
      </c>
      <c r="H22" s="81">
        <v>5000</v>
      </c>
      <c r="I22" s="81">
        <v>15000</v>
      </c>
      <c r="J22" s="81">
        <v>11500</v>
      </c>
      <c r="K22" s="93" t="s">
        <v>4845</v>
      </c>
      <c r="L22" s="92" t="s">
        <v>4846</v>
      </c>
      <c r="M22" s="92" t="s">
        <v>4836</v>
      </c>
      <c r="N22" s="93" t="s">
        <v>4837</v>
      </c>
      <c r="O22" s="218"/>
      <c r="P22" s="49"/>
      <c r="Q22" s="246" t="str">
        <f>IF(C22="","",'OPĆI DIO'!$C$1)</f>
        <v>48267 SVEUČILIŠTE SJEVER</v>
      </c>
      <c r="R22" s="40" t="str">
        <f t="shared" si="5"/>
        <v>323</v>
      </c>
      <c r="S22" s="40" t="str">
        <f t="shared" si="6"/>
        <v>32</v>
      </c>
      <c r="T22" s="40" t="str">
        <f t="shared" si="7"/>
        <v>94</v>
      </c>
      <c r="U22" s="40" t="str">
        <f t="shared" si="8"/>
        <v>3</v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50">
        <v>52</v>
      </c>
      <c r="B23" s="45" t="str">
        <f t="shared" si="1"/>
        <v>Ostale pomoći</v>
      </c>
      <c r="C23" s="50">
        <v>3211</v>
      </c>
      <c r="D23" s="45" t="str">
        <f t="shared" si="2"/>
        <v>Službena putovanja</v>
      </c>
      <c r="E23" s="82" t="s">
        <v>737</v>
      </c>
      <c r="F23" s="45" t="str">
        <f t="shared" si="3"/>
        <v>ERASMUS+  Poticanje mobilnosti studenata i znanstveno-nastavnog osoblja</v>
      </c>
      <c r="G23" s="45" t="str">
        <f t="shared" si="4"/>
        <v>0942</v>
      </c>
      <c r="H23" s="81">
        <v>9900</v>
      </c>
      <c r="I23" s="81">
        <v>10300</v>
      </c>
      <c r="J23" s="81">
        <v>0</v>
      </c>
      <c r="K23" s="93" t="s">
        <v>4845</v>
      </c>
      <c r="L23" s="92" t="s">
        <v>4846</v>
      </c>
      <c r="M23" s="92" t="s">
        <v>4836</v>
      </c>
      <c r="N23" s="93" t="s">
        <v>4837</v>
      </c>
      <c r="O23" s="218"/>
      <c r="P23" s="49"/>
      <c r="Q23" s="246" t="str">
        <f>IF(C23="","",'OPĆI DIO'!$C$1)</f>
        <v>48267 SVEUČILIŠTE SJEVER</v>
      </c>
      <c r="R23" s="40" t="str">
        <f t="shared" si="5"/>
        <v>321</v>
      </c>
      <c r="S23" s="40" t="str">
        <f t="shared" si="6"/>
        <v>32</v>
      </c>
      <c r="T23" s="40" t="str">
        <f t="shared" si="7"/>
        <v>94</v>
      </c>
      <c r="U23" s="40" t="str">
        <f t="shared" si="8"/>
        <v>3</v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50">
        <v>52</v>
      </c>
      <c r="B24" s="45" t="str">
        <f t="shared" si="1"/>
        <v>Ostale pomoći</v>
      </c>
      <c r="C24" s="50">
        <v>3241</v>
      </c>
      <c r="D24" s="45" t="str">
        <f t="shared" si="2"/>
        <v>Naknade troškova osobama izvan radnog odnosa</v>
      </c>
      <c r="E24" s="82" t="s">
        <v>737</v>
      </c>
      <c r="F24" s="45" t="str">
        <f t="shared" si="3"/>
        <v>ERASMUS+  Poticanje mobilnosti studenata i znanstveno-nastavnog osoblja</v>
      </c>
      <c r="G24" s="45" t="str">
        <f t="shared" si="4"/>
        <v>0942</v>
      </c>
      <c r="H24" s="81">
        <v>24800</v>
      </c>
      <c r="I24" s="81">
        <v>20982</v>
      </c>
      <c r="J24" s="81">
        <v>0</v>
      </c>
      <c r="K24" s="93" t="s">
        <v>4845</v>
      </c>
      <c r="L24" s="92" t="s">
        <v>4846</v>
      </c>
      <c r="M24" s="92" t="s">
        <v>4836</v>
      </c>
      <c r="N24" s="93" t="s">
        <v>4837</v>
      </c>
      <c r="O24" s="218"/>
      <c r="P24" s="49"/>
      <c r="Q24" s="246" t="str">
        <f>IF(C24="","",'OPĆI DIO'!$C$1)</f>
        <v>48267 SVEUČILIŠTE SJEVER</v>
      </c>
      <c r="R24" s="40" t="str">
        <f t="shared" si="5"/>
        <v>324</v>
      </c>
      <c r="S24" s="40" t="str">
        <f t="shared" si="6"/>
        <v>32</v>
      </c>
      <c r="T24" s="40" t="str">
        <f t="shared" si="7"/>
        <v>94</v>
      </c>
      <c r="U24" s="40" t="str">
        <f t="shared" si="8"/>
        <v>3</v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50">
        <v>52</v>
      </c>
      <c r="B25" s="45" t="str">
        <f t="shared" si="1"/>
        <v>Ostale pomoći</v>
      </c>
      <c r="C25" s="50">
        <v>3237</v>
      </c>
      <c r="D25" s="45" t="str">
        <f t="shared" si="2"/>
        <v>Intelektualne i osobne usluge</v>
      </c>
      <c r="E25" s="82" t="s">
        <v>737</v>
      </c>
      <c r="F25" s="45" t="str">
        <f t="shared" si="3"/>
        <v>ERASMUS+  Poticanje mobilnosti studenata i znanstveno-nastavnog osoblja</v>
      </c>
      <c r="G25" s="45" t="str">
        <f t="shared" si="4"/>
        <v>0942</v>
      </c>
      <c r="H25" s="81">
        <v>6800</v>
      </c>
      <c r="I25" s="81">
        <v>10000</v>
      </c>
      <c r="J25" s="81">
        <v>0</v>
      </c>
      <c r="K25" s="93" t="s">
        <v>4845</v>
      </c>
      <c r="L25" s="92" t="s">
        <v>4846</v>
      </c>
      <c r="M25" s="92" t="s">
        <v>4836</v>
      </c>
      <c r="N25" s="93" t="s">
        <v>4837</v>
      </c>
      <c r="O25" s="218"/>
      <c r="P25" s="49"/>
      <c r="Q25" s="246" t="str">
        <f>IF(C25="","",'OPĆI DIO'!$C$1)</f>
        <v>48267 SVEUČILIŠTE SJEVER</v>
      </c>
      <c r="R25" s="40" t="str">
        <f t="shared" si="5"/>
        <v>323</v>
      </c>
      <c r="S25" s="40" t="str">
        <f t="shared" si="6"/>
        <v>32</v>
      </c>
      <c r="T25" s="40" t="str">
        <f t="shared" si="7"/>
        <v>94</v>
      </c>
      <c r="U25" s="40" t="str">
        <f t="shared" si="8"/>
        <v>3</v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50"/>
      <c r="B26" s="45" t="str">
        <f t="shared" si="1"/>
        <v/>
      </c>
      <c r="C26" s="82"/>
      <c r="D26" s="45" t="str">
        <f t="shared" si="2"/>
        <v/>
      </c>
      <c r="E26" s="82"/>
      <c r="F26" s="45" t="str">
        <f t="shared" si="3"/>
        <v/>
      </c>
      <c r="G26" s="45" t="str">
        <f t="shared" si="4"/>
        <v/>
      </c>
      <c r="H26" s="224"/>
      <c r="I26" s="224"/>
      <c r="J26" s="224"/>
      <c r="K26" s="93"/>
      <c r="L26" s="92"/>
      <c r="M26" s="92"/>
      <c r="N26" s="93"/>
      <c r="O26" s="218"/>
      <c r="P26" s="49"/>
      <c r="Q26" s="246" t="str">
        <f>IF(C26="","",'OPĆI DIO'!$C$1)</f>
        <v/>
      </c>
      <c r="R26" s="40" t="str">
        <f t="shared" si="5"/>
        <v/>
      </c>
      <c r="S26" s="40" t="str">
        <f t="shared" si="6"/>
        <v/>
      </c>
      <c r="T26" s="40" t="str">
        <f t="shared" si="7"/>
        <v/>
      </c>
      <c r="U26" s="40" t="str">
        <f t="shared" si="8"/>
        <v/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50">
        <v>51</v>
      </c>
      <c r="B27" s="45" t="str">
        <f t="shared" si="1"/>
        <v>Pomoći EU</v>
      </c>
      <c r="C27" s="50">
        <v>3237</v>
      </c>
      <c r="D27" s="45" t="str">
        <f t="shared" si="2"/>
        <v>Intelektualne i osobne usluge</v>
      </c>
      <c r="E27" s="82" t="s">
        <v>4613</v>
      </c>
      <c r="F27" s="45" t="str">
        <f t="shared" si="3"/>
        <v>Obuka o izgradnji informacijskih modela integriranih s geografskim informacijama</v>
      </c>
      <c r="G27" s="45" t="str">
        <f t="shared" si="4"/>
        <v>0942</v>
      </c>
      <c r="H27" s="81">
        <v>7000</v>
      </c>
      <c r="I27" s="81">
        <v>7000</v>
      </c>
      <c r="J27" s="81">
        <v>0</v>
      </c>
      <c r="K27" s="93" t="s">
        <v>4847</v>
      </c>
      <c r="L27" s="92" t="s">
        <v>4848</v>
      </c>
      <c r="M27" s="92">
        <v>46022</v>
      </c>
      <c r="N27" s="372" t="s">
        <v>4849</v>
      </c>
      <c r="O27" s="93"/>
      <c r="P27" s="49"/>
      <c r="Q27" s="246" t="str">
        <f>IF(C27="","",'OPĆI DIO'!$C$1)</f>
        <v>48267 SVEUČILIŠTE SJEVER</v>
      </c>
      <c r="R27" s="40" t="str">
        <f t="shared" si="5"/>
        <v>323</v>
      </c>
      <c r="S27" s="40" t="str">
        <f t="shared" si="6"/>
        <v>32</v>
      </c>
      <c r="T27" s="40" t="str">
        <f t="shared" si="7"/>
        <v>94</v>
      </c>
      <c r="U27" s="40" t="str">
        <f t="shared" si="8"/>
        <v>3</v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50">
        <v>51</v>
      </c>
      <c r="B28" s="45" t="str">
        <f t="shared" si="1"/>
        <v>Pomoći EU</v>
      </c>
      <c r="C28" s="50">
        <v>3111</v>
      </c>
      <c r="D28" s="45" t="str">
        <f t="shared" si="2"/>
        <v>Plaće za redovan rad</v>
      </c>
      <c r="E28" s="82" t="s">
        <v>4613</v>
      </c>
      <c r="F28" s="45" t="str">
        <f t="shared" si="3"/>
        <v>Obuka o izgradnji informacijskih modela integriranih s geografskim informacijama</v>
      </c>
      <c r="G28" s="45" t="str">
        <f t="shared" si="4"/>
        <v>0942</v>
      </c>
      <c r="H28" s="81">
        <v>10300.443169968717</v>
      </c>
      <c r="I28" s="81">
        <v>10300.443169968717</v>
      </c>
      <c r="J28" s="81">
        <v>0</v>
      </c>
      <c r="K28" s="93" t="s">
        <v>4847</v>
      </c>
      <c r="L28" s="92" t="s">
        <v>4848</v>
      </c>
      <c r="M28" s="92">
        <v>46022</v>
      </c>
      <c r="N28" s="372" t="s">
        <v>4849</v>
      </c>
      <c r="O28" s="93"/>
      <c r="P28" s="49"/>
      <c r="Q28" s="246" t="str">
        <f>IF(C28="","",'OPĆI DIO'!$C$1)</f>
        <v>48267 SVEUČILIŠTE SJEVER</v>
      </c>
      <c r="R28" s="40" t="str">
        <f t="shared" si="5"/>
        <v>311</v>
      </c>
      <c r="S28" s="40" t="str">
        <f t="shared" si="6"/>
        <v>31</v>
      </c>
      <c r="T28" s="40" t="str">
        <f t="shared" si="7"/>
        <v>94</v>
      </c>
      <c r="U28" s="40" t="str">
        <f t="shared" si="8"/>
        <v>3</v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50">
        <v>51</v>
      </c>
      <c r="B29" s="45" t="str">
        <f t="shared" si="1"/>
        <v>Pomoći EU</v>
      </c>
      <c r="C29" s="50">
        <v>3132</v>
      </c>
      <c r="D29" s="45" t="str">
        <f t="shared" si="2"/>
        <v>Doprinosi za obvezno zdravstveno osiguranje</v>
      </c>
      <c r="E29" s="82" t="s">
        <v>4613</v>
      </c>
      <c r="F29" s="45" t="str">
        <f t="shared" si="3"/>
        <v>Obuka o izgradnji informacijskih modela integriranih s geografskim informacijama</v>
      </c>
      <c r="G29" s="45" t="str">
        <f t="shared" si="4"/>
        <v>0942</v>
      </c>
      <c r="H29" s="81">
        <v>1699.5568300312825</v>
      </c>
      <c r="I29" s="81">
        <v>1699.5568300312825</v>
      </c>
      <c r="J29" s="81">
        <v>0</v>
      </c>
      <c r="K29" s="93" t="s">
        <v>4847</v>
      </c>
      <c r="L29" s="92" t="s">
        <v>4848</v>
      </c>
      <c r="M29" s="92">
        <v>46022</v>
      </c>
      <c r="N29" s="372" t="s">
        <v>4849</v>
      </c>
      <c r="O29" s="93"/>
      <c r="P29" s="49"/>
      <c r="Q29" s="246" t="str">
        <f>IF(C29="","",'OPĆI DIO'!$C$1)</f>
        <v>48267 SVEUČILIŠTE SJEVER</v>
      </c>
      <c r="R29" s="40" t="str">
        <f t="shared" si="5"/>
        <v>313</v>
      </c>
      <c r="S29" s="40" t="str">
        <f t="shared" si="6"/>
        <v>31</v>
      </c>
      <c r="T29" s="40" t="str">
        <f t="shared" si="7"/>
        <v>94</v>
      </c>
      <c r="U29" s="40" t="str">
        <f t="shared" si="8"/>
        <v>3</v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50">
        <v>51</v>
      </c>
      <c r="B30" s="45" t="str">
        <f t="shared" si="1"/>
        <v>Pomoći EU</v>
      </c>
      <c r="C30" s="50">
        <v>3213</v>
      </c>
      <c r="D30" s="45" t="str">
        <f t="shared" si="2"/>
        <v>Stručno usavršavanje zaposlenika</v>
      </c>
      <c r="E30" s="82" t="s">
        <v>4613</v>
      </c>
      <c r="F30" s="45" t="str">
        <f t="shared" si="3"/>
        <v>Obuka o izgradnji informacijskih modela integriranih s geografskim informacijama</v>
      </c>
      <c r="G30" s="45" t="str">
        <f t="shared" si="4"/>
        <v>0942</v>
      </c>
      <c r="H30" s="81">
        <v>500</v>
      </c>
      <c r="I30" s="81">
        <v>500</v>
      </c>
      <c r="J30" s="81">
        <v>0</v>
      </c>
      <c r="K30" s="93" t="s">
        <v>4847</v>
      </c>
      <c r="L30" s="92" t="s">
        <v>4848</v>
      </c>
      <c r="M30" s="92">
        <v>46022</v>
      </c>
      <c r="N30" s="372" t="s">
        <v>4849</v>
      </c>
      <c r="O30" s="93"/>
      <c r="P30" s="49"/>
      <c r="Q30" s="246" t="str">
        <f>IF(C30="","",'OPĆI DIO'!$C$1)</f>
        <v>48267 SVEUČILIŠTE SJEVER</v>
      </c>
      <c r="R30" s="40" t="str">
        <f t="shared" si="5"/>
        <v>321</v>
      </c>
      <c r="S30" s="40" t="str">
        <f t="shared" si="6"/>
        <v>32</v>
      </c>
      <c r="T30" s="40" t="str">
        <f t="shared" si="7"/>
        <v>94</v>
      </c>
      <c r="U30" s="40" t="str">
        <f t="shared" si="8"/>
        <v>3</v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50">
        <v>51</v>
      </c>
      <c r="B31" s="45" t="str">
        <f t="shared" si="1"/>
        <v>Pomoći EU</v>
      </c>
      <c r="C31" s="50">
        <v>3211</v>
      </c>
      <c r="D31" s="45" t="str">
        <f t="shared" si="2"/>
        <v>Službena putovanja</v>
      </c>
      <c r="E31" s="82" t="s">
        <v>4613</v>
      </c>
      <c r="F31" s="45" t="str">
        <f t="shared" si="3"/>
        <v>Obuka o izgradnji informacijskih modela integriranih s geografskim informacijama</v>
      </c>
      <c r="G31" s="45" t="str">
        <f t="shared" si="4"/>
        <v>0942</v>
      </c>
      <c r="H31" s="81">
        <v>3000</v>
      </c>
      <c r="I31" s="81">
        <v>3500</v>
      </c>
      <c r="J31" s="81">
        <v>0</v>
      </c>
      <c r="K31" s="93" t="s">
        <v>4847</v>
      </c>
      <c r="L31" s="92" t="s">
        <v>4848</v>
      </c>
      <c r="M31" s="92">
        <v>46022</v>
      </c>
      <c r="N31" s="372" t="s">
        <v>4849</v>
      </c>
      <c r="O31" s="93"/>
      <c r="P31" s="49"/>
      <c r="Q31" s="246" t="str">
        <f>IF(C31="","",'OPĆI DIO'!$C$1)</f>
        <v>48267 SVEUČILIŠTE SJEVER</v>
      </c>
      <c r="R31" s="40" t="str">
        <f t="shared" si="5"/>
        <v>321</v>
      </c>
      <c r="S31" s="40" t="str">
        <f t="shared" si="6"/>
        <v>32</v>
      </c>
      <c r="T31" s="40" t="str">
        <f t="shared" si="7"/>
        <v>94</v>
      </c>
      <c r="U31" s="40" t="str">
        <f t="shared" si="8"/>
        <v>3</v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50">
        <v>51</v>
      </c>
      <c r="B32" s="45" t="str">
        <f t="shared" si="1"/>
        <v>Pomoći EU</v>
      </c>
      <c r="C32" s="50">
        <v>3239</v>
      </c>
      <c r="D32" s="45" t="str">
        <f t="shared" si="2"/>
        <v>Ostale usluge</v>
      </c>
      <c r="E32" s="82" t="s">
        <v>4613</v>
      </c>
      <c r="F32" s="45" t="str">
        <f t="shared" si="3"/>
        <v>Obuka o izgradnji informacijskih modela integriranih s geografskim informacijama</v>
      </c>
      <c r="G32" s="45" t="str">
        <f t="shared" si="4"/>
        <v>0942</v>
      </c>
      <c r="H32" s="81">
        <v>3000</v>
      </c>
      <c r="I32" s="81">
        <v>3620</v>
      </c>
      <c r="J32" s="81">
        <v>0</v>
      </c>
      <c r="K32" s="93" t="s">
        <v>4847</v>
      </c>
      <c r="L32" s="92" t="s">
        <v>4848</v>
      </c>
      <c r="M32" s="92">
        <v>46022</v>
      </c>
      <c r="N32" s="372" t="s">
        <v>4849</v>
      </c>
      <c r="O32" s="93"/>
      <c r="P32" s="49"/>
      <c r="Q32" s="246" t="str">
        <f>IF(C32="","",'OPĆI DIO'!$C$1)</f>
        <v>48267 SVEUČILIŠTE SJEVER</v>
      </c>
      <c r="R32" s="40" t="str">
        <f t="shared" si="5"/>
        <v>323</v>
      </c>
      <c r="S32" s="40" t="str">
        <f t="shared" si="6"/>
        <v>32</v>
      </c>
      <c r="T32" s="40" t="str">
        <f t="shared" si="7"/>
        <v>94</v>
      </c>
      <c r="U32" s="40" t="str">
        <f t="shared" si="8"/>
        <v>3</v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50"/>
      <c r="B33" s="45" t="str">
        <f t="shared" si="1"/>
        <v/>
      </c>
      <c r="C33" s="331"/>
      <c r="D33" s="45" t="str">
        <f t="shared" si="2"/>
        <v/>
      </c>
      <c r="E33" s="327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29"/>
      <c r="B34" s="45" t="str">
        <f t="shared" si="1"/>
        <v/>
      </c>
      <c r="C34" s="331"/>
      <c r="D34" s="45" t="str">
        <f t="shared" si="2"/>
        <v/>
      </c>
      <c r="E34" s="327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29"/>
      <c r="B35" s="45" t="str">
        <f t="shared" si="1"/>
        <v/>
      </c>
      <c r="C35" s="331"/>
      <c r="D35" s="45" t="str">
        <f t="shared" si="2"/>
        <v/>
      </c>
      <c r="E35" s="327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29"/>
      <c r="B36" s="45" t="str">
        <f t="shared" si="1"/>
        <v/>
      </c>
      <c r="C36" s="331"/>
      <c r="D36" s="45" t="str">
        <f t="shared" si="2"/>
        <v/>
      </c>
      <c r="E36" s="327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29"/>
      <c r="B37" s="45" t="str">
        <f t="shared" si="1"/>
        <v/>
      </c>
      <c r="C37" s="331"/>
      <c r="D37" s="45" t="str">
        <f t="shared" si="2"/>
        <v/>
      </c>
      <c r="E37" s="327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29"/>
      <c r="B38" s="45" t="str">
        <f t="shared" si="1"/>
        <v/>
      </c>
      <c r="C38" s="331"/>
      <c r="D38" s="45" t="str">
        <f t="shared" si="2"/>
        <v/>
      </c>
      <c r="E38" s="327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29"/>
      <c r="B39" s="45" t="str">
        <f t="shared" si="1"/>
        <v/>
      </c>
      <c r="C39" s="331"/>
      <c r="D39" s="45" t="str">
        <f t="shared" si="2"/>
        <v/>
      </c>
      <c r="E39" s="327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29"/>
      <c r="B40" s="45" t="str">
        <f t="shared" si="1"/>
        <v/>
      </c>
      <c r="C40" s="331"/>
      <c r="D40" s="45" t="str">
        <f t="shared" si="2"/>
        <v/>
      </c>
      <c r="E40" s="327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29"/>
      <c r="B41" s="45" t="str">
        <f t="shared" si="1"/>
        <v/>
      </c>
      <c r="C41" s="331"/>
      <c r="D41" s="45" t="str">
        <f t="shared" si="2"/>
        <v/>
      </c>
      <c r="E41" s="327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29"/>
      <c r="B42" s="45" t="str">
        <f t="shared" si="1"/>
        <v/>
      </c>
      <c r="C42" s="331"/>
      <c r="D42" s="45" t="str">
        <f t="shared" si="2"/>
        <v/>
      </c>
      <c r="E42" s="327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29"/>
      <c r="B43" s="45" t="str">
        <f t="shared" si="1"/>
        <v/>
      </c>
      <c r="C43" s="331"/>
      <c r="D43" s="45" t="str">
        <f t="shared" si="2"/>
        <v/>
      </c>
      <c r="E43" s="327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29"/>
      <c r="B44" s="45" t="str">
        <f t="shared" si="1"/>
        <v/>
      </c>
      <c r="C44" s="331"/>
      <c r="D44" s="45" t="str">
        <f t="shared" si="2"/>
        <v/>
      </c>
      <c r="E44" s="327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29"/>
      <c r="B45" s="45" t="str">
        <f t="shared" si="1"/>
        <v/>
      </c>
      <c r="C45" s="331"/>
      <c r="D45" s="45" t="str">
        <f t="shared" si="2"/>
        <v/>
      </c>
      <c r="E45" s="327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29"/>
      <c r="B46" s="45" t="str">
        <f t="shared" si="1"/>
        <v/>
      </c>
      <c r="C46" s="331"/>
      <c r="D46" s="45" t="str">
        <f t="shared" si="2"/>
        <v/>
      </c>
      <c r="E46" s="327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29"/>
      <c r="B47" s="45" t="str">
        <f t="shared" si="1"/>
        <v/>
      </c>
      <c r="C47" s="331"/>
      <c r="D47" s="45" t="str">
        <f t="shared" si="2"/>
        <v/>
      </c>
      <c r="E47" s="327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29"/>
      <c r="B48" s="45" t="str">
        <f t="shared" si="1"/>
        <v/>
      </c>
      <c r="C48" s="331"/>
      <c r="D48" s="45" t="str">
        <f t="shared" si="2"/>
        <v/>
      </c>
      <c r="E48" s="327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29"/>
      <c r="B49" s="45" t="str">
        <f t="shared" si="1"/>
        <v/>
      </c>
      <c r="C49" s="331"/>
      <c r="D49" s="45" t="str">
        <f t="shared" si="2"/>
        <v/>
      </c>
      <c r="E49" s="327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29"/>
      <c r="B50" s="45" t="str">
        <f t="shared" si="1"/>
        <v/>
      </c>
      <c r="C50" s="331"/>
      <c r="D50" s="45" t="str">
        <f t="shared" si="2"/>
        <v/>
      </c>
      <c r="E50" s="327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29"/>
      <c r="B51" s="45" t="str">
        <f t="shared" si="1"/>
        <v/>
      </c>
      <c r="C51" s="331"/>
      <c r="D51" s="45" t="str">
        <f t="shared" si="2"/>
        <v/>
      </c>
      <c r="E51" s="327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29"/>
      <c r="B52" s="45" t="str">
        <f t="shared" si="1"/>
        <v/>
      </c>
      <c r="C52" s="331"/>
      <c r="D52" s="45" t="str">
        <f t="shared" si="2"/>
        <v/>
      </c>
      <c r="E52" s="327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29"/>
      <c r="B53" s="45" t="str">
        <f t="shared" si="1"/>
        <v/>
      </c>
      <c r="C53" s="331"/>
      <c r="D53" s="45" t="str">
        <f t="shared" si="2"/>
        <v/>
      </c>
      <c r="E53" s="327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29"/>
      <c r="B54" s="45" t="str">
        <f t="shared" si="1"/>
        <v/>
      </c>
      <c r="C54" s="331"/>
      <c r="D54" s="45" t="str">
        <f t="shared" si="2"/>
        <v/>
      </c>
      <c r="E54" s="327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29"/>
      <c r="B55" s="45" t="str">
        <f t="shared" si="1"/>
        <v/>
      </c>
      <c r="C55" s="331"/>
      <c r="D55" s="45" t="str">
        <f t="shared" si="2"/>
        <v/>
      </c>
      <c r="E55" s="327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29"/>
      <c r="B56" s="45" t="str">
        <f t="shared" si="1"/>
        <v/>
      </c>
      <c r="C56" s="331"/>
      <c r="D56" s="45" t="str">
        <f t="shared" si="2"/>
        <v/>
      </c>
      <c r="E56" s="327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29"/>
      <c r="B57" s="45" t="str">
        <f t="shared" si="1"/>
        <v/>
      </c>
      <c r="C57" s="331"/>
      <c r="D57" s="45" t="str">
        <f t="shared" si="2"/>
        <v/>
      </c>
      <c r="E57" s="327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29"/>
      <c r="B58" s="45" t="str">
        <f t="shared" si="1"/>
        <v/>
      </c>
      <c r="C58" s="331"/>
      <c r="D58" s="45" t="str">
        <f t="shared" si="2"/>
        <v/>
      </c>
      <c r="E58" s="327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29"/>
      <c r="B59" s="45" t="str">
        <f t="shared" si="1"/>
        <v/>
      </c>
      <c r="C59" s="331"/>
      <c r="D59" s="45" t="str">
        <f t="shared" si="2"/>
        <v/>
      </c>
      <c r="E59" s="327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29"/>
      <c r="B60" s="45" t="str">
        <f t="shared" si="1"/>
        <v/>
      </c>
      <c r="C60" s="331"/>
      <c r="D60" s="45" t="str">
        <f t="shared" si="2"/>
        <v/>
      </c>
      <c r="E60" s="327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29"/>
      <c r="B61" s="45" t="str">
        <f t="shared" si="1"/>
        <v/>
      </c>
      <c r="C61" s="331"/>
      <c r="D61" s="45" t="str">
        <f t="shared" si="2"/>
        <v/>
      </c>
      <c r="E61" s="327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29"/>
      <c r="B62" s="45" t="str">
        <f t="shared" si="1"/>
        <v/>
      </c>
      <c r="C62" s="331"/>
      <c r="D62" s="45" t="str">
        <f t="shared" si="2"/>
        <v/>
      </c>
      <c r="E62" s="327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29"/>
      <c r="B63" s="45" t="str">
        <f t="shared" si="1"/>
        <v/>
      </c>
      <c r="C63" s="331"/>
      <c r="D63" s="45" t="str">
        <f t="shared" si="2"/>
        <v/>
      </c>
      <c r="E63" s="327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29"/>
      <c r="B64" s="45" t="str">
        <f t="shared" si="1"/>
        <v/>
      </c>
      <c r="C64" s="331"/>
      <c r="D64" s="45" t="str">
        <f t="shared" si="2"/>
        <v/>
      </c>
      <c r="E64" s="327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29"/>
      <c r="B65" s="45" t="str">
        <f t="shared" si="1"/>
        <v/>
      </c>
      <c r="C65" s="331"/>
      <c r="D65" s="45" t="str">
        <f t="shared" si="2"/>
        <v/>
      </c>
      <c r="E65" s="327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29"/>
      <c r="B66" s="45" t="str">
        <f t="shared" si="1"/>
        <v/>
      </c>
      <c r="C66" s="331"/>
      <c r="D66" s="45" t="str">
        <f t="shared" si="2"/>
        <v/>
      </c>
      <c r="E66" s="327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29"/>
      <c r="B67" s="45" t="str">
        <f t="shared" si="1"/>
        <v/>
      </c>
      <c r="C67" s="331"/>
      <c r="D67" s="45" t="str">
        <f t="shared" si="2"/>
        <v/>
      </c>
      <c r="E67" s="327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29"/>
      <c r="B68" s="45" t="str">
        <f t="shared" ref="B68:B131" si="12">IFERROR(VLOOKUP(A68,$V$6:$W$23,2,FALSE),"")</f>
        <v/>
      </c>
      <c r="C68" s="331"/>
      <c r="D68" s="45" t="str">
        <f t="shared" ref="D68:D131" si="13">IFERROR(VLOOKUP(C68,$Y$5:$AA$129,2,FALSE),"")</f>
        <v/>
      </c>
      <c r="E68" s="327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29"/>
      <c r="B69" s="45" t="str">
        <f t="shared" si="12"/>
        <v/>
      </c>
      <c r="C69" s="331"/>
      <c r="D69" s="45" t="str">
        <f t="shared" si="13"/>
        <v/>
      </c>
      <c r="E69" s="327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29"/>
      <c r="B70" s="45" t="str">
        <f t="shared" si="12"/>
        <v/>
      </c>
      <c r="C70" s="331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29"/>
      <c r="B71" s="45" t="str">
        <f t="shared" si="12"/>
        <v/>
      </c>
      <c r="C71" s="331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29"/>
      <c r="B72" s="45" t="str">
        <f t="shared" si="12"/>
        <v/>
      </c>
      <c r="C72" s="331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29"/>
      <c r="B73" s="45" t="str">
        <f t="shared" si="12"/>
        <v/>
      </c>
      <c r="C73" s="331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29"/>
      <c r="B74" s="45" t="str">
        <f t="shared" si="12"/>
        <v/>
      </c>
      <c r="C74" s="331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29"/>
      <c r="B75" s="45" t="str">
        <f t="shared" si="12"/>
        <v/>
      </c>
      <c r="C75" s="331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29"/>
      <c r="B76" s="45" t="str">
        <f t="shared" si="12"/>
        <v/>
      </c>
      <c r="C76" s="331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29"/>
      <c r="B77" s="45" t="str">
        <f t="shared" si="12"/>
        <v/>
      </c>
      <c r="C77" s="331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29"/>
      <c r="B78" s="45" t="str">
        <f t="shared" si="12"/>
        <v/>
      </c>
      <c r="C78" s="331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29"/>
      <c r="B79" s="45" t="str">
        <f t="shared" si="12"/>
        <v/>
      </c>
      <c r="C79" s="331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29"/>
      <c r="B80" s="45" t="str">
        <f t="shared" si="12"/>
        <v/>
      </c>
      <c r="C80" s="331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29"/>
      <c r="B81" s="45" t="str">
        <f t="shared" si="12"/>
        <v/>
      </c>
      <c r="C81" s="331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29"/>
      <c r="B82" s="45" t="str">
        <f t="shared" si="12"/>
        <v/>
      </c>
      <c r="C82" s="331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29"/>
      <c r="B83" s="45" t="str">
        <f t="shared" si="12"/>
        <v/>
      </c>
      <c r="C83" s="331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29"/>
      <c r="B84" s="45" t="str">
        <f t="shared" si="12"/>
        <v/>
      </c>
      <c r="C84" s="331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29"/>
      <c r="B85" s="45" t="str">
        <f t="shared" si="12"/>
        <v/>
      </c>
      <c r="C85" s="331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29"/>
      <c r="B86" s="45" t="str">
        <f t="shared" si="12"/>
        <v/>
      </c>
      <c r="C86" s="331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29"/>
      <c r="B87" s="45" t="str">
        <f t="shared" si="12"/>
        <v/>
      </c>
      <c r="C87" s="331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29"/>
      <c r="B88" s="45" t="str">
        <f t="shared" si="12"/>
        <v/>
      </c>
      <c r="C88" s="331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29"/>
      <c r="B89" s="45" t="str">
        <f t="shared" si="12"/>
        <v/>
      </c>
      <c r="C89" s="331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29"/>
      <c r="B90" s="45" t="str">
        <f t="shared" si="12"/>
        <v/>
      </c>
      <c r="C90" s="331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29"/>
      <c r="B91" s="45" t="str">
        <f t="shared" si="12"/>
        <v/>
      </c>
      <c r="C91" s="331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29"/>
      <c r="B92" s="45" t="str">
        <f t="shared" si="12"/>
        <v/>
      </c>
      <c r="C92" s="331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29"/>
      <c r="B93" s="45" t="str">
        <f t="shared" si="12"/>
        <v/>
      </c>
      <c r="C93" s="331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29"/>
      <c r="B94" s="45" t="str">
        <f t="shared" si="12"/>
        <v/>
      </c>
      <c r="C94" s="331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29"/>
      <c r="B95" s="45" t="str">
        <f t="shared" si="12"/>
        <v/>
      </c>
      <c r="C95" s="331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29"/>
      <c r="B96" s="45" t="str">
        <f t="shared" si="12"/>
        <v/>
      </c>
      <c r="C96" s="331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29"/>
      <c r="B97" s="45" t="str">
        <f t="shared" si="12"/>
        <v/>
      </c>
      <c r="C97" s="331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29"/>
      <c r="B98" s="45" t="str">
        <f t="shared" si="12"/>
        <v/>
      </c>
      <c r="C98" s="331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29"/>
      <c r="B99" s="45" t="str">
        <f t="shared" si="12"/>
        <v/>
      </c>
      <c r="C99" s="331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29"/>
      <c r="B100" s="45" t="str">
        <f t="shared" si="12"/>
        <v/>
      </c>
      <c r="C100" s="331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29"/>
      <c r="B101" s="45" t="str">
        <f t="shared" si="12"/>
        <v/>
      </c>
      <c r="C101" s="331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29"/>
      <c r="B102" s="45" t="str">
        <f t="shared" si="12"/>
        <v/>
      </c>
      <c r="C102" s="331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29"/>
      <c r="B103" s="45" t="str">
        <f t="shared" si="12"/>
        <v/>
      </c>
      <c r="C103" s="331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29"/>
      <c r="B104" s="45" t="str">
        <f t="shared" si="12"/>
        <v/>
      </c>
      <c r="C104" s="331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29"/>
      <c r="B105" s="45" t="str">
        <f t="shared" si="12"/>
        <v/>
      </c>
      <c r="C105" s="331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29"/>
      <c r="B106" s="45" t="str">
        <f t="shared" si="12"/>
        <v/>
      </c>
      <c r="C106" s="331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29"/>
      <c r="B107" s="45" t="str">
        <f t="shared" si="12"/>
        <v/>
      </c>
      <c r="C107" s="331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29"/>
      <c r="B108" s="45" t="str">
        <f t="shared" si="12"/>
        <v/>
      </c>
      <c r="C108" s="331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29"/>
      <c r="B109" s="45" t="str">
        <f t="shared" si="12"/>
        <v/>
      </c>
      <c r="C109" s="331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29"/>
      <c r="B110" s="45" t="str">
        <f t="shared" si="12"/>
        <v/>
      </c>
      <c r="C110" s="331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29"/>
      <c r="B111" s="45" t="str">
        <f t="shared" si="12"/>
        <v/>
      </c>
      <c r="C111" s="331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29"/>
      <c r="B112" s="45" t="str">
        <f t="shared" si="12"/>
        <v/>
      </c>
      <c r="C112" s="331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29"/>
      <c r="B113" s="45" t="str">
        <f t="shared" si="12"/>
        <v/>
      </c>
      <c r="C113" s="331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29"/>
      <c r="B114" s="45" t="str">
        <f t="shared" si="12"/>
        <v/>
      </c>
      <c r="C114" s="331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29"/>
      <c r="B115" s="45" t="str">
        <f t="shared" si="12"/>
        <v/>
      </c>
      <c r="C115" s="331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29"/>
      <c r="B116" s="45" t="str">
        <f t="shared" si="12"/>
        <v/>
      </c>
      <c r="C116" s="331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29"/>
      <c r="B117" s="45" t="str">
        <f t="shared" si="12"/>
        <v/>
      </c>
      <c r="C117" s="331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29"/>
      <c r="B118" s="45" t="str">
        <f t="shared" si="12"/>
        <v/>
      </c>
      <c r="C118" s="331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29"/>
      <c r="B119" s="45" t="str">
        <f t="shared" si="12"/>
        <v/>
      </c>
      <c r="C119" s="331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29"/>
      <c r="B120" s="45" t="str">
        <f t="shared" si="12"/>
        <v/>
      </c>
      <c r="C120" s="331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29"/>
      <c r="B121" s="45" t="str">
        <f t="shared" si="12"/>
        <v/>
      </c>
      <c r="C121" s="331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29"/>
      <c r="B122" s="45" t="str">
        <f t="shared" si="12"/>
        <v/>
      </c>
      <c r="C122" s="331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29"/>
      <c r="B123" s="45" t="str">
        <f t="shared" si="12"/>
        <v/>
      </c>
      <c r="C123" s="331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29"/>
      <c r="B124" s="45" t="str">
        <f t="shared" si="12"/>
        <v/>
      </c>
      <c r="C124" s="331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29"/>
      <c r="B125" s="45" t="str">
        <f t="shared" si="12"/>
        <v/>
      </c>
      <c r="C125" s="331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29"/>
      <c r="B126" s="45" t="str">
        <f t="shared" si="12"/>
        <v/>
      </c>
      <c r="C126" s="331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29"/>
      <c r="B127" s="45" t="str">
        <f t="shared" si="12"/>
        <v/>
      </c>
      <c r="C127" s="331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29"/>
      <c r="B128" s="45" t="str">
        <f t="shared" si="12"/>
        <v/>
      </c>
      <c r="C128" s="331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29"/>
      <c r="B129" s="45" t="str">
        <f t="shared" si="12"/>
        <v/>
      </c>
      <c r="C129" s="331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29"/>
      <c r="B130" s="45" t="str">
        <f t="shared" si="12"/>
        <v/>
      </c>
      <c r="C130" s="331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29"/>
      <c r="B131" s="45" t="str">
        <f t="shared" si="12"/>
        <v/>
      </c>
      <c r="C131" s="331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29"/>
      <c r="B132" s="45" t="str">
        <f t="shared" ref="B132:B195" si="23">IFERROR(VLOOKUP(A132,$V$6:$W$23,2,FALSE),"")</f>
        <v/>
      </c>
      <c r="C132" s="331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29"/>
      <c r="B133" s="45" t="str">
        <f t="shared" si="23"/>
        <v/>
      </c>
      <c r="C133" s="331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29"/>
      <c r="B134" s="45" t="str">
        <f t="shared" si="23"/>
        <v/>
      </c>
      <c r="C134" s="331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29"/>
      <c r="B135" s="45" t="str">
        <f t="shared" si="23"/>
        <v/>
      </c>
      <c r="C135" s="331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1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1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1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1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1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1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1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1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1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1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1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1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1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1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1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1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1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1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1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1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1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1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1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1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1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1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2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2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0"/>
      <c r="B164" s="45" t="str">
        <f t="shared" si="23"/>
        <v/>
      </c>
      <c r="C164" s="332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0"/>
      <c r="B165" s="45" t="str">
        <f t="shared" si="23"/>
        <v/>
      </c>
      <c r="C165" s="332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0"/>
      <c r="B166" s="45" t="str">
        <f t="shared" si="23"/>
        <v/>
      </c>
      <c r="C166" s="332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0"/>
      <c r="B167" s="45" t="str">
        <f t="shared" si="23"/>
        <v/>
      </c>
      <c r="C167" s="332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0"/>
      <c r="B168" s="45" t="str">
        <f t="shared" si="23"/>
        <v/>
      </c>
      <c r="C168" s="332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0"/>
      <c r="B169" s="45" t="str">
        <f t="shared" si="23"/>
        <v/>
      </c>
      <c r="C169" s="332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0"/>
      <c r="B170" s="45" t="str">
        <f t="shared" si="23"/>
        <v/>
      </c>
      <c r="C170" s="332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0"/>
      <c r="B171" s="45" t="str">
        <f t="shared" si="23"/>
        <v/>
      </c>
      <c r="C171" s="332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0"/>
      <c r="B172" s="45" t="str">
        <f t="shared" si="23"/>
        <v/>
      </c>
      <c r="C172" s="332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0"/>
      <c r="B173" s="45" t="str">
        <f t="shared" si="23"/>
        <v/>
      </c>
      <c r="C173" s="332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0"/>
      <c r="B174" s="45" t="str">
        <f t="shared" si="23"/>
        <v/>
      </c>
      <c r="C174" s="332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0"/>
      <c r="B175" s="45" t="str">
        <f t="shared" si="23"/>
        <v/>
      </c>
      <c r="C175" s="332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zoomScale="90" zoomScaleNormal="90" workbookViewId="0">
      <selection activeCell="I23" sqref="I23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</row>
    <row r="2" spans="1:29" ht="21" customHeight="1">
      <c r="B2" s="388" t="s">
        <v>4035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</row>
    <row r="3" spans="1:29" s="19" customFormat="1" ht="15">
      <c r="B3" s="18"/>
      <c r="C3" s="18"/>
      <c r="D3" s="18"/>
      <c r="G3" s="354"/>
      <c r="I3" s="354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5018722</v>
      </c>
      <c r="E5" s="333"/>
      <c r="F5" s="333"/>
      <c r="G5" s="334"/>
      <c r="H5" s="333"/>
      <c r="I5" s="333">
        <v>4757405</v>
      </c>
      <c r="J5" s="333"/>
      <c r="K5" s="333">
        <v>261317</v>
      </c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23" t="str">
        <f>'OPĆI DIO'!$C$1</f>
        <v>48267 SVEUČILIŠTE SJEVER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13911332</v>
      </c>
      <c r="E6" s="6">
        <f>'A.2 PRIHODI I RASHODI IF'!E7</f>
        <v>10619092</v>
      </c>
      <c r="F6" s="6">
        <f>'A.2 PRIHODI I RASHODI IF'!E8</f>
        <v>0</v>
      </c>
      <c r="G6" s="6">
        <f>'A.2 PRIHODI I RASHODI IF'!E10</f>
        <v>515329</v>
      </c>
      <c r="H6" s="6">
        <f>'A.2 PRIHODI I RASHODI IF'!E12</f>
        <v>0</v>
      </c>
      <c r="I6" s="6">
        <f>'A.2 PRIHODI I RASHODI IF'!E13+'B.2 RAČUN FINANC IF'!E7</f>
        <v>2531369</v>
      </c>
      <c r="J6" s="6">
        <f>'A.2 PRIHODI I RASHODI IF'!E15</f>
        <v>41120</v>
      </c>
      <c r="K6" s="6">
        <f>'A.2 PRIHODI I RASHODI IF'!E16</f>
        <v>169768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7">
        <f>'A.2 PRIHODI I RASHODI IF'!E23</f>
        <v>0</v>
      </c>
      <c r="S6" s="6">
        <f>'A.2 PRIHODI I RASHODI IF'!E24</f>
        <v>0</v>
      </c>
      <c r="T6" s="6">
        <f>'A.2 PRIHODI I RASHODI IF'!E26</f>
        <v>32000</v>
      </c>
      <c r="U6" s="6">
        <f>'A.2 PRIHODI I RASHODI IF'!E27</f>
        <v>0</v>
      </c>
      <c r="V6" s="6">
        <f>'A.2 PRIHODI I RASHODI IF'!E29</f>
        <v>2654</v>
      </c>
      <c r="W6" s="6">
        <f>'B.2 RAČUN FINANC IF'!E10</f>
        <v>0</v>
      </c>
      <c r="X6" s="23" t="str">
        <f>'OPĆI DIO'!$C$1</f>
        <v>48267 SVEUČILIŠTE SJEVER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-505265</v>
      </c>
      <c r="E7" s="335"/>
      <c r="F7" s="335"/>
      <c r="G7" s="335">
        <v>-118854</v>
      </c>
      <c r="H7" s="335"/>
      <c r="I7" s="335">
        <v>-237000</v>
      </c>
      <c r="J7" s="335"/>
      <c r="K7" s="335">
        <v>-149411</v>
      </c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23" t="str">
        <f>'OPĆI DIO'!$C$1</f>
        <v>48267 SVEUČILIŠTE SJEVER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18424789</v>
      </c>
      <c r="E8" s="6">
        <f>+E5+E6+E7</f>
        <v>10619092</v>
      </c>
      <c r="F8" s="6">
        <f t="shared" ref="F8:W8" si="1">+F5+F6+F7</f>
        <v>0</v>
      </c>
      <c r="G8" s="6">
        <f t="shared" si="1"/>
        <v>396475</v>
      </c>
      <c r="H8" s="6">
        <f t="shared" si="1"/>
        <v>0</v>
      </c>
      <c r="I8" s="6">
        <f t="shared" si="1"/>
        <v>7051774</v>
      </c>
      <c r="J8" s="6">
        <f t="shared" si="1"/>
        <v>41120</v>
      </c>
      <c r="K8" s="6">
        <f t="shared" si="1"/>
        <v>281674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7">
        <f t="shared" si="1"/>
        <v>0</v>
      </c>
      <c r="S8" s="6">
        <f t="shared" si="1"/>
        <v>0</v>
      </c>
      <c r="T8" s="6">
        <f t="shared" si="1"/>
        <v>32000</v>
      </c>
      <c r="U8" s="6">
        <f t="shared" si="1"/>
        <v>0</v>
      </c>
      <c r="V8" s="6">
        <f t="shared" si="1"/>
        <v>2654</v>
      </c>
      <c r="W8" s="6">
        <f t="shared" si="1"/>
        <v>0</v>
      </c>
      <c r="X8" s="23" t="str">
        <f>'OPĆI DIO'!$C$1</f>
        <v>48267 SVEUČILIŠTE SJEVER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18424789</v>
      </c>
      <c r="E9" s="6">
        <f>'A.2 PRIHODI I RASHODI IF'!E32</f>
        <v>10619092</v>
      </c>
      <c r="F9" s="6">
        <f>'A.2 PRIHODI I RASHODI IF'!E33</f>
        <v>0</v>
      </c>
      <c r="G9" s="6">
        <f>'A.2 PRIHODI I RASHODI IF'!E35+'B.2 RAČUN FINANC IF'!E14</f>
        <v>396475</v>
      </c>
      <c r="H9" s="6">
        <f>'A.2 PRIHODI I RASHODI IF'!E37</f>
        <v>0</v>
      </c>
      <c r="I9" s="6">
        <f>'A.2 PRIHODI I RASHODI IF'!E38</f>
        <v>7051774</v>
      </c>
      <c r="J9" s="6">
        <f>'A.2 PRIHODI I RASHODI IF'!E40</f>
        <v>41120</v>
      </c>
      <c r="K9" s="6">
        <f>'A.2 PRIHODI I RASHODI IF'!E41</f>
        <v>281674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7">
        <f>'A.2 PRIHODI I RASHODI IF'!E48</f>
        <v>0</v>
      </c>
      <c r="S9" s="6">
        <f>'A.2 PRIHODI I RASHODI IF'!E49</f>
        <v>0</v>
      </c>
      <c r="T9" s="6">
        <f>'A.2 PRIHODI I RASHODI IF'!E51</f>
        <v>32000</v>
      </c>
      <c r="U9" s="6">
        <f>'A.2 PRIHODI I RASHODI IF'!E52</f>
        <v>0</v>
      </c>
      <c r="V9" s="6">
        <f>'A.2 PRIHODI I RASHODI IF'!E54</f>
        <v>2654</v>
      </c>
      <c r="W9" s="6">
        <v>0</v>
      </c>
      <c r="X9" s="23" t="str">
        <f>'OPĆI DIO'!$C$1</f>
        <v>48267 SVEUČILIŠTE SJEVER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48267 SVEUČILIŠTE SJEVER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48267 SVEUČILIŠTE SJEVER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48267 SVEUČILIŠTE SJEVER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505265</v>
      </c>
      <c r="E13" s="84">
        <f t="shared" ref="E13:W13" si="4">-E7</f>
        <v>0</v>
      </c>
      <c r="F13" s="84">
        <f t="shared" si="4"/>
        <v>0</v>
      </c>
      <c r="G13" s="84">
        <f t="shared" si="4"/>
        <v>118854</v>
      </c>
      <c r="H13" s="84">
        <f t="shared" si="4"/>
        <v>0</v>
      </c>
      <c r="I13" s="84">
        <f t="shared" si="4"/>
        <v>237000</v>
      </c>
      <c r="J13" s="84">
        <f t="shared" si="4"/>
        <v>0</v>
      </c>
      <c r="K13" s="84">
        <f t="shared" si="4"/>
        <v>149411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48267 SVEUČILIŠTE SJEVER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11913326</v>
      </c>
      <c r="E14" s="6">
        <f>'A.2 PRIHODI I RASHODI IF'!F7</f>
        <v>8145851</v>
      </c>
      <c r="F14" s="6">
        <f>'A.2 PRIHODI I RASHODI IF'!F8</f>
        <v>0</v>
      </c>
      <c r="G14" s="6">
        <f>'A.2 PRIHODI I RASHODI IF'!F10</f>
        <v>782500</v>
      </c>
      <c r="H14" s="6">
        <f>'A.2 PRIHODI I RASHODI IF'!F12</f>
        <v>0</v>
      </c>
      <c r="I14" s="6">
        <f>'A.2 PRIHODI I RASHODI IF'!F13+'B.2 RAČUN FINANC IF'!F7</f>
        <v>2774530</v>
      </c>
      <c r="J14" s="6">
        <f>'A.2 PRIHODI I RASHODI IF'!F15</f>
        <v>27620</v>
      </c>
      <c r="K14" s="6">
        <f>'A.2 PRIHODI I RASHODI IF'!F16</f>
        <v>137171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7">
        <f>'A.2 PRIHODI I RASHODI IF'!F23</f>
        <v>0</v>
      </c>
      <c r="S14" s="6">
        <f>'A.2 PRIHODI I RASHODI IF'!F24</f>
        <v>0</v>
      </c>
      <c r="T14" s="6">
        <f>'A.2 PRIHODI I RASHODI IF'!F26</f>
        <v>43000</v>
      </c>
      <c r="U14" s="6">
        <f>'A.2 PRIHODI I RASHODI IF'!F27</f>
        <v>0</v>
      </c>
      <c r="V14" s="6">
        <f>'A.2 PRIHODI I RASHODI IF'!F29</f>
        <v>2654</v>
      </c>
      <c r="W14" s="6">
        <f>'B.2 RAČUN FINANC IF'!F10</f>
        <v>0</v>
      </c>
      <c r="X14" s="23" t="str">
        <f>'OPĆI DIO'!$C$1</f>
        <v>48267 SVEUČILIŠTE SJEVER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-545474</v>
      </c>
      <c r="E15" s="336"/>
      <c r="F15" s="336"/>
      <c r="G15" s="336">
        <v>-524123</v>
      </c>
      <c r="H15" s="336"/>
      <c r="I15" s="336"/>
      <c r="J15" s="336"/>
      <c r="K15" s="336">
        <v>-21351</v>
      </c>
      <c r="L15" s="336"/>
      <c r="M15" s="333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23" t="str">
        <f>'OPĆI DIO'!$C$1</f>
        <v>48267 SVEUČILIŠTE SJEVER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11873117</v>
      </c>
      <c r="E16" s="6">
        <f>+E13+E14+E15</f>
        <v>8145851</v>
      </c>
      <c r="F16" s="6">
        <f t="shared" ref="F16:W16" si="5">+F13+F14+F15</f>
        <v>0</v>
      </c>
      <c r="G16" s="6">
        <f t="shared" si="5"/>
        <v>377231</v>
      </c>
      <c r="H16" s="6">
        <f t="shared" si="5"/>
        <v>0</v>
      </c>
      <c r="I16" s="6">
        <f t="shared" si="5"/>
        <v>3011530</v>
      </c>
      <c r="J16" s="6">
        <f t="shared" si="5"/>
        <v>27620</v>
      </c>
      <c r="K16" s="6">
        <f t="shared" si="5"/>
        <v>265231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43000</v>
      </c>
      <c r="U16" s="6">
        <f t="shared" si="5"/>
        <v>0</v>
      </c>
      <c r="V16" s="6">
        <f t="shared" si="5"/>
        <v>2654</v>
      </c>
      <c r="W16" s="6">
        <f t="shared" si="5"/>
        <v>0</v>
      </c>
      <c r="X16" s="23" t="str">
        <f>'OPĆI DIO'!$C$1</f>
        <v>48267 SVEUČILIŠTE SJEVER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11873117</v>
      </c>
      <c r="E17" s="6">
        <f>'A.2 PRIHODI I RASHODI IF'!F32</f>
        <v>8145851</v>
      </c>
      <c r="F17" s="6">
        <f>'A.2 PRIHODI I RASHODI IF'!F33</f>
        <v>0</v>
      </c>
      <c r="G17" s="6">
        <f>'A.2 PRIHODI I RASHODI IF'!F35+'B.2 RAČUN FINANC IF'!F14</f>
        <v>377231</v>
      </c>
      <c r="H17" s="6">
        <f>'A.2 PRIHODI I RASHODI IF'!F37</f>
        <v>0</v>
      </c>
      <c r="I17" s="6">
        <f>'A.2 PRIHODI I RASHODI IF'!F38</f>
        <v>3011530</v>
      </c>
      <c r="J17" s="6">
        <f>'A.2 PRIHODI I RASHODI IF'!F40</f>
        <v>27620</v>
      </c>
      <c r="K17" s="6">
        <f>'A.2 PRIHODI I RASHODI IF'!F41</f>
        <v>265231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43000</v>
      </c>
      <c r="U17" s="6">
        <f>'A.2 PRIHODI I RASHODI IF'!F52</f>
        <v>0</v>
      </c>
      <c r="V17" s="6">
        <f>'A.2 PRIHODI I RASHODI IF'!F54</f>
        <v>2654</v>
      </c>
      <c r="W17" s="6">
        <v>0</v>
      </c>
      <c r="X17" s="23" t="str">
        <f>'OPĆI DIO'!$C$1</f>
        <v>48267 SVEUČILIŠTE SJEVER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48267 SVEUČILIŠTE SJEVER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48267 SVEUČILIŠTE SJEVER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48267 SVEUČILIŠTE SJEVER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545474</v>
      </c>
      <c r="E21" s="84">
        <f t="shared" ref="E21:W21" si="8">-E15</f>
        <v>0</v>
      </c>
      <c r="F21" s="84">
        <f t="shared" si="8"/>
        <v>0</v>
      </c>
      <c r="G21" s="84">
        <f t="shared" si="8"/>
        <v>524123</v>
      </c>
      <c r="H21" s="84">
        <f t="shared" si="8"/>
        <v>0</v>
      </c>
      <c r="I21" s="84">
        <f t="shared" si="8"/>
        <v>0</v>
      </c>
      <c r="J21" s="84">
        <f t="shared" si="8"/>
        <v>0</v>
      </c>
      <c r="K21" s="84">
        <f t="shared" si="8"/>
        <v>21351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48267 SVEUČILIŠTE SJEVER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11998382</v>
      </c>
      <c r="E22" s="6">
        <f>'A.2 PRIHODI I RASHODI IF'!G7</f>
        <v>8149526</v>
      </c>
      <c r="F22" s="6">
        <f>'A.2 PRIHODI I RASHODI IF'!G8</f>
        <v>0</v>
      </c>
      <c r="G22" s="6">
        <f>'A.2 PRIHODI I RASHODI IF'!G10</f>
        <v>819000</v>
      </c>
      <c r="H22" s="6">
        <f>'A.2 PRIHODI I RASHODI IF'!G12</f>
        <v>0</v>
      </c>
      <c r="I22" s="6">
        <f>'A.2 PRIHODI I RASHODI IF'!G13+'B.2 RAČUN FINANC IF'!G7</f>
        <v>2899600</v>
      </c>
      <c r="J22" s="6">
        <f>'A.2 PRIHODI I RASHODI IF'!G15</f>
        <v>0</v>
      </c>
      <c r="K22" s="6">
        <f>'A.2 PRIHODI I RASHODI IF'!G16</f>
        <v>74602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7">
        <f>'A.2 PRIHODI I RASHODI IF'!G23</f>
        <v>0</v>
      </c>
      <c r="S22" s="6">
        <f>'A.2 PRIHODI I RASHODI IF'!G24</f>
        <v>0</v>
      </c>
      <c r="T22" s="6">
        <f>'A.2 PRIHODI I RASHODI IF'!G26</f>
        <v>53000</v>
      </c>
      <c r="U22" s="6">
        <f>'A.2 PRIHODI I RASHODI IF'!G27</f>
        <v>0</v>
      </c>
      <c r="V22" s="6">
        <f>'A.2 PRIHODI I RASHODI IF'!G29</f>
        <v>2654</v>
      </c>
      <c r="W22" s="6">
        <f>'B.2 RAČUN FINANC IF'!G10</f>
        <v>0</v>
      </c>
      <c r="X22" s="23" t="str">
        <f>'OPĆI DIO'!$C$1</f>
        <v>48267 SVEUČILIŠTE SJEVER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-953929</v>
      </c>
      <c r="E23" s="336"/>
      <c r="F23" s="336"/>
      <c r="G23" s="336">
        <v>-953929</v>
      </c>
      <c r="H23" s="336"/>
      <c r="I23" s="336"/>
      <c r="J23" s="336"/>
      <c r="K23" s="336"/>
      <c r="L23" s="336"/>
      <c r="M23" s="333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23" t="str">
        <f>'OPĆI DIO'!$C$1</f>
        <v>48267 SVEUČILIŠTE SJEVER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11589927</v>
      </c>
      <c r="E24" s="6">
        <f>+E21+E22+E23</f>
        <v>8149526</v>
      </c>
      <c r="F24" s="6">
        <f t="shared" ref="F24:W24" si="9">+F21+F22+F23</f>
        <v>0</v>
      </c>
      <c r="G24" s="6">
        <f t="shared" si="9"/>
        <v>389194</v>
      </c>
      <c r="H24" s="6">
        <f t="shared" si="9"/>
        <v>0</v>
      </c>
      <c r="I24" s="6">
        <f t="shared" si="9"/>
        <v>2899600</v>
      </c>
      <c r="J24" s="6">
        <f t="shared" si="9"/>
        <v>0</v>
      </c>
      <c r="K24" s="6">
        <f t="shared" si="9"/>
        <v>95953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53000</v>
      </c>
      <c r="U24" s="6">
        <f t="shared" si="9"/>
        <v>0</v>
      </c>
      <c r="V24" s="6">
        <f t="shared" si="9"/>
        <v>2654</v>
      </c>
      <c r="W24" s="6">
        <f t="shared" si="9"/>
        <v>0</v>
      </c>
      <c r="X24" s="23" t="str">
        <f>'OPĆI DIO'!$C$1</f>
        <v>48267 SVEUČILIŠTE SJEVER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11589927</v>
      </c>
      <c r="E25" s="6">
        <f>'A.2 PRIHODI I RASHODI IF'!G32</f>
        <v>8149526</v>
      </c>
      <c r="F25" s="6">
        <f>'A.2 PRIHODI I RASHODI IF'!G33</f>
        <v>0</v>
      </c>
      <c r="G25" s="6">
        <f>'A.2 PRIHODI I RASHODI IF'!G35+'B.2 RAČUN FINANC IF'!G14</f>
        <v>389194</v>
      </c>
      <c r="H25" s="6">
        <f>'A.2 PRIHODI I RASHODI IF'!G37</f>
        <v>0</v>
      </c>
      <c r="I25" s="6">
        <f>'A.2 PRIHODI I RASHODI IF'!G38</f>
        <v>2899600</v>
      </c>
      <c r="J25" s="6">
        <f>'A.2 PRIHODI I RASHODI IF'!G40</f>
        <v>0</v>
      </c>
      <c r="K25" s="6">
        <f>'A.2 PRIHODI I RASHODI IF'!G41</f>
        <v>95953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53000</v>
      </c>
      <c r="U25" s="6">
        <f>'A.2 PRIHODI I RASHODI IF'!G52</f>
        <v>0</v>
      </c>
      <c r="V25" s="6">
        <f>'A.2 PRIHODI I RASHODI IF'!G54</f>
        <v>2654</v>
      </c>
      <c r="W25" s="6">
        <v>0</v>
      </c>
      <c r="X25" s="23" t="str">
        <f>'OPĆI DIO'!$C$1</f>
        <v>48267 SVEUČILIŠTE SJEVER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48267 SVEUČILIŠTE SJEVER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8" scale="6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topLeftCell="A13" zoomScale="130" zoomScaleNormal="130" zoomScaleSheetLayoutView="130" workbookViewId="0">
      <selection activeCell="D15" sqref="D15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2" t="s">
        <v>3883</v>
      </c>
      <c r="B2" s="392"/>
      <c r="C2" s="392"/>
      <c r="D2" s="392"/>
      <c r="E2" s="392"/>
      <c r="F2" s="392"/>
      <c r="G2" s="392"/>
      <c r="H2" s="392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2" t="s">
        <v>3884</v>
      </c>
      <c r="B4" s="392"/>
      <c r="C4" s="392"/>
      <c r="D4" s="392"/>
      <c r="E4" s="392"/>
      <c r="F4" s="392"/>
      <c r="G4" s="392"/>
      <c r="H4" s="392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2" t="s">
        <v>4777</v>
      </c>
      <c r="B6" s="392"/>
      <c r="C6" s="392"/>
      <c r="D6" s="392"/>
      <c r="E6" s="392"/>
      <c r="F6" s="392"/>
      <c r="G6" s="392"/>
      <c r="H6" s="392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3" t="s">
        <v>4778</v>
      </c>
      <c r="B8" s="394"/>
      <c r="C8" s="395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89">
        <v>1</v>
      </c>
      <c r="B9" s="390"/>
      <c r="C9" s="391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9954508.1699999999</v>
      </c>
      <c r="E10" s="317">
        <f t="shared" ref="E10:H10" si="0">+E11+E19</f>
        <v>11627092</v>
      </c>
      <c r="F10" s="317">
        <f t="shared" si="0"/>
        <v>13911332</v>
      </c>
      <c r="G10" s="317">
        <f t="shared" si="0"/>
        <v>11913326</v>
      </c>
      <c r="H10" s="317">
        <f t="shared" si="0"/>
        <v>11998382</v>
      </c>
      <c r="I10" s="315" t="str">
        <f>'OPĆI DIO'!$C$1</f>
        <v>48267 SVEUČILIŠTE SJEVER</v>
      </c>
    </row>
    <row r="11" spans="1:10">
      <c r="A11" s="277">
        <v>6</v>
      </c>
      <c r="B11" s="277"/>
      <c r="C11" s="277" t="s">
        <v>4782</v>
      </c>
      <c r="D11" s="309">
        <f>SUM(D12:D18)</f>
        <v>9953727.7599999998</v>
      </c>
      <c r="E11" s="309">
        <f t="shared" ref="E11:H11" si="1">SUM(E12:E18)</f>
        <v>11624438</v>
      </c>
      <c r="F11" s="309">
        <f t="shared" si="1"/>
        <v>13908678</v>
      </c>
      <c r="G11" s="309">
        <f t="shared" si="1"/>
        <v>11910672</v>
      </c>
      <c r="H11" s="309">
        <f t="shared" si="1"/>
        <v>11995728</v>
      </c>
      <c r="I11" s="315" t="str">
        <f>'OPĆI DIO'!$C$1</f>
        <v>48267 SVEUČILIŠTE SJEVER</v>
      </c>
    </row>
    <row r="12" spans="1:10">
      <c r="A12" s="277"/>
      <c r="B12" s="278" t="s">
        <v>3887</v>
      </c>
      <c r="C12" s="278" t="s">
        <v>3886</v>
      </c>
      <c r="D12" s="348">
        <v>0</v>
      </c>
      <c r="E12" s="348">
        <v>0</v>
      </c>
      <c r="F12" s="338">
        <f>SUMIF('Unos prihoda i primitaka'!$L$3:$L$501,$B12,'Unos prihoda i primitaka'!G$3:G$501)</f>
        <v>0</v>
      </c>
      <c r="G12" s="338">
        <f>SUMIF('Unos prihoda i primitaka'!$L$3:$L$501,$B12,'Unos prihoda i primitaka'!H$3:H$501)</f>
        <v>0</v>
      </c>
      <c r="H12" s="338">
        <f>SUMIF('Unos prihoda i primitaka'!$L$3:$L$501,$B12,'Unos prihoda i primitaka'!I$3:I$501)</f>
        <v>0</v>
      </c>
      <c r="I12" s="315" t="str">
        <f>'OPĆI DIO'!$C$1</f>
        <v>48267 SVEUČILIŠTE SJEVER</v>
      </c>
    </row>
    <row r="13" spans="1:10" ht="30">
      <c r="A13" s="277"/>
      <c r="B13" s="278" t="s">
        <v>3889</v>
      </c>
      <c r="C13" s="278" t="s">
        <v>3888</v>
      </c>
      <c r="D13" s="348">
        <f>331929.26+95260.65</f>
        <v>427189.91000000003</v>
      </c>
      <c r="E13" s="348">
        <f>5645+83476+2701+53554+10000</f>
        <v>155376</v>
      </c>
      <c r="F13" s="338">
        <f>SUMIF('Unos prihoda i primitaka'!$L$3:$L$501,$B13,'Unos prihoda i primitaka'!G$3:G$501)</f>
        <v>210888</v>
      </c>
      <c r="G13" s="338">
        <f>SUMIF('Unos prihoda i primitaka'!$L$3:$L$501,$B13,'Unos prihoda i primitaka'!H$3:H$501)</f>
        <v>164791</v>
      </c>
      <c r="H13" s="338">
        <f>SUMIF('Unos prihoda i primitaka'!$L$3:$L$501,$B13,'Unos prihoda i primitaka'!I$3:I$501)</f>
        <v>74602</v>
      </c>
      <c r="I13" s="315" t="str">
        <f>'OPĆI DIO'!$C$1</f>
        <v>48267 SVEUČILIŠTE SJEVER</v>
      </c>
    </row>
    <row r="14" spans="1:10">
      <c r="A14" s="277"/>
      <c r="B14" s="278" t="s">
        <v>3891</v>
      </c>
      <c r="C14" s="278" t="s">
        <v>3890</v>
      </c>
      <c r="D14" s="348">
        <f>93.02+337.2+92.27</f>
        <v>522.49</v>
      </c>
      <c r="E14" s="348">
        <f>332+1991</f>
        <v>2323</v>
      </c>
      <c r="F14" s="338">
        <f>SUMIF('Unos prihoda i primitaka'!$L$3:$L$501,$B14,'Unos prihoda i primitaka'!G$3:G$501)</f>
        <v>10020</v>
      </c>
      <c r="G14" s="338">
        <f>SUMIF('Unos prihoda i primitaka'!$L$3:$L$501,$B14,'Unos prihoda i primitaka'!H$3:H$501)</f>
        <v>10500</v>
      </c>
      <c r="H14" s="338">
        <f>SUMIF('Unos prihoda i primitaka'!$L$3:$L$501,$B14,'Unos prihoda i primitaka'!I$3:I$501)</f>
        <v>11000</v>
      </c>
      <c r="I14" s="315" t="str">
        <f>'OPĆI DIO'!$C$1</f>
        <v>48267 SVEUČILIŠTE SJEVER</v>
      </c>
    </row>
    <row r="15" spans="1:10" ht="45">
      <c r="A15" s="277"/>
      <c r="B15" s="278" t="s">
        <v>3892</v>
      </c>
      <c r="C15" s="278" t="s">
        <v>3893</v>
      </c>
      <c r="D15" s="348">
        <v>2816014.67</v>
      </c>
      <c r="E15" s="348">
        <v>2528370</v>
      </c>
      <c r="F15" s="338">
        <f>SUMIF('Unos prihoda i primitaka'!$L$3:$L$501,$B15,'Unos prihoda i primitaka'!G$3:G$501)</f>
        <v>2527369</v>
      </c>
      <c r="G15" s="338">
        <f>SUMIF('Unos prihoda i primitaka'!$L$3:$L$501,$B15,'Unos prihoda i primitaka'!H$3:H$501)</f>
        <v>2769530</v>
      </c>
      <c r="H15" s="338">
        <f>SUMIF('Unos prihoda i primitaka'!$L$3:$L$501,$B15,'Unos prihoda i primitaka'!I$3:I$501)</f>
        <v>2893600</v>
      </c>
      <c r="I15" s="315" t="str">
        <f>'OPĆI DIO'!$C$1</f>
        <v>48267 SVEUČILIŠTE SJEVER</v>
      </c>
    </row>
    <row r="16" spans="1:10" ht="30">
      <c r="A16" s="277"/>
      <c r="B16" s="278" t="s">
        <v>3895</v>
      </c>
      <c r="C16" s="278" t="s">
        <v>3894</v>
      </c>
      <c r="D16" s="348">
        <f>38996.13+214540.63+189.73+3112.76</f>
        <v>256839.25000000003</v>
      </c>
      <c r="E16" s="348">
        <f>5309+265446+5030+684185</f>
        <v>959970</v>
      </c>
      <c r="F16" s="338">
        <f>SUMIF('Unos prihoda i primitaka'!$L$3:$L$501,$B16,'Unos prihoda i primitaka'!G$3:G$501)</f>
        <v>537309</v>
      </c>
      <c r="G16" s="338">
        <f>SUMIF('Unos prihoda i primitaka'!$L$3:$L$501,$B16,'Unos prihoda i primitaka'!H$3:H$501)</f>
        <v>815000</v>
      </c>
      <c r="H16" s="338">
        <f>SUMIF('Unos prihoda i primitaka'!$L$3:$L$501,$B16,'Unos prihoda i primitaka'!I$3:I$501)</f>
        <v>861000</v>
      </c>
      <c r="I16" s="315" t="str">
        <f>'OPĆI DIO'!$C$1</f>
        <v>48267 SVEUČILIŠTE SJEVER</v>
      </c>
    </row>
    <row r="17" spans="1:9" ht="30">
      <c r="A17" s="277"/>
      <c r="B17" s="278" t="s">
        <v>3898</v>
      </c>
      <c r="C17" s="278" t="s">
        <v>3907</v>
      </c>
      <c r="D17" s="348">
        <f>6453166.44-5</f>
        <v>6453161.4400000004</v>
      </c>
      <c r="E17" s="348">
        <f>6704972+1248289+25138</f>
        <v>7978399</v>
      </c>
      <c r="F17" s="338">
        <f>SUMIF('Unos prihoda i primitaka'!$L$3:$L$501,$B17,'Unos prihoda i primitaka'!G$3:G$501)</f>
        <v>10619092</v>
      </c>
      <c r="G17" s="338">
        <f>SUMIF('Unos prihoda i primitaka'!$L$3:$L$501,$B17,'Unos prihoda i primitaka'!H$3:H$501)</f>
        <v>8145851</v>
      </c>
      <c r="H17" s="338">
        <f>SUMIF('Unos prihoda i primitaka'!$L$3:$L$501,$B17,'Unos prihoda i primitaka'!I$3:I$501)</f>
        <v>8149526</v>
      </c>
      <c r="I17" s="315" t="str">
        <f>'OPĆI DIO'!$C$1</f>
        <v>48267 SVEUČILIŠTE SJEVER</v>
      </c>
    </row>
    <row r="18" spans="1:9">
      <c r="A18" s="277"/>
      <c r="B18" s="278" t="s">
        <v>3897</v>
      </c>
      <c r="C18" s="278" t="s">
        <v>3896</v>
      </c>
      <c r="D18" s="348">
        <v>0</v>
      </c>
      <c r="E18" s="348">
        <v>0</v>
      </c>
      <c r="F18" s="338">
        <f>SUMIF('Unos prihoda i primitaka'!$L$3:$L$501,$B18,'Unos prihoda i primitaka'!G$3:G$501)</f>
        <v>4000</v>
      </c>
      <c r="G18" s="338">
        <f>SUMIF('Unos prihoda i primitaka'!$L$3:$L$501,$B18,'Unos prihoda i primitaka'!H$3:H$501)</f>
        <v>5000</v>
      </c>
      <c r="H18" s="338">
        <f>SUMIF('Unos prihoda i primitaka'!$L$3:$L$501,$B18,'Unos prihoda i primitaka'!I$3:I$501)</f>
        <v>6000</v>
      </c>
      <c r="I18" s="315" t="str">
        <f>'OPĆI DIO'!$C$1</f>
        <v>48267 SVEUČILIŠTE SJEVER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780.41</v>
      </c>
      <c r="E19" s="314">
        <f t="shared" ref="E19:H19" si="2">+E20+E21</f>
        <v>2654</v>
      </c>
      <c r="F19" s="314">
        <f t="shared" si="2"/>
        <v>2654</v>
      </c>
      <c r="G19" s="314">
        <f t="shared" si="2"/>
        <v>2654</v>
      </c>
      <c r="H19" s="314">
        <f t="shared" si="2"/>
        <v>2654</v>
      </c>
      <c r="I19" s="315" t="str">
        <f>'OPĆI DIO'!$C$1</f>
        <v>48267 SVEUČILIŠTE SJEVER</v>
      </c>
    </row>
    <row r="20" spans="1:9" ht="30">
      <c r="A20" s="279"/>
      <c r="B20" s="280" t="s">
        <v>3899</v>
      </c>
      <c r="C20" s="278" t="s">
        <v>3900</v>
      </c>
      <c r="D20" s="348">
        <v>0</v>
      </c>
      <c r="E20" s="348">
        <v>0</v>
      </c>
      <c r="F20" s="338">
        <f>SUMIF('Unos prihoda i primitaka'!$L$3:$L$501,$B20,'Unos prihoda i primitaka'!G$3:G$501)</f>
        <v>0</v>
      </c>
      <c r="G20" s="338">
        <f>SUMIF('Unos prihoda i primitaka'!$L$3:$L$501,$B20,'Unos prihoda i primitaka'!H$3:H$501)</f>
        <v>0</v>
      </c>
      <c r="H20" s="338">
        <f>SUMIF('Unos prihoda i primitaka'!$L$3:$L$501,$B20,'Unos prihoda i primitaka'!I$3:I$501)</f>
        <v>0</v>
      </c>
      <c r="I20" s="315" t="str">
        <f>'OPĆI DIO'!$C$1</f>
        <v>48267 SVEUČILIŠTE SJEVER</v>
      </c>
    </row>
    <row r="21" spans="1:9" ht="30">
      <c r="A21" s="279"/>
      <c r="B21" s="280" t="s">
        <v>3901</v>
      </c>
      <c r="C21" s="278" t="s">
        <v>3902</v>
      </c>
      <c r="D21" s="348">
        <v>780.41</v>
      </c>
      <c r="E21" s="348">
        <f>1327+1327</f>
        <v>2654</v>
      </c>
      <c r="F21" s="338">
        <f>SUMIF('Unos prihoda i primitaka'!$L$3:$L$501,$B21,'Unos prihoda i primitaka'!G$3:G$501)</f>
        <v>2654</v>
      </c>
      <c r="G21" s="338">
        <f>SUMIF('Unos prihoda i primitaka'!$L$3:$L$501,$B21,'Unos prihoda i primitaka'!H$3:H$501)</f>
        <v>2654</v>
      </c>
      <c r="H21" s="338">
        <f>SUMIF('Unos prihoda i primitaka'!$L$3:$L$501,$B21,'Unos prihoda i primitaka'!I$3:I$501)</f>
        <v>2654</v>
      </c>
      <c r="I21" s="315" t="str">
        <f>'OPĆI DIO'!$C$1</f>
        <v>48267 SVEUČILIŠTE SJEVER</v>
      </c>
    </row>
    <row r="24" spans="1:9" ht="30">
      <c r="A24" s="393" t="s">
        <v>4778</v>
      </c>
      <c r="B24" s="394"/>
      <c r="C24" s="395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89">
        <v>1</v>
      </c>
      <c r="B25" s="390"/>
      <c r="C25" s="391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7">
        <f>+D27+D35</f>
        <v>10663167</v>
      </c>
      <c r="E26" s="337">
        <f t="shared" ref="E26:H26" si="3">+E27+E35</f>
        <v>16224539</v>
      </c>
      <c r="F26" s="337">
        <f t="shared" si="3"/>
        <v>18424789</v>
      </c>
      <c r="G26" s="337">
        <f t="shared" si="3"/>
        <v>11873117</v>
      </c>
      <c r="H26" s="337">
        <f t="shared" si="3"/>
        <v>11589927</v>
      </c>
      <c r="I26" s="315" t="str">
        <f>'OPĆI DIO'!$C$1</f>
        <v>48267 SVEUČILIŠTE SJEVER</v>
      </c>
    </row>
    <row r="27" spans="1:9">
      <c r="A27" s="277">
        <v>3</v>
      </c>
      <c r="B27" s="277"/>
      <c r="C27" s="277" t="s">
        <v>4784</v>
      </c>
      <c r="D27" s="308">
        <f>SUM(D28:D34)</f>
        <v>9720083</v>
      </c>
      <c r="E27" s="308">
        <f t="shared" ref="E27:H27" si="4">SUM(E28:E34)</f>
        <v>11642408</v>
      </c>
      <c r="F27" s="308">
        <f t="shared" si="4"/>
        <v>11891990</v>
      </c>
      <c r="G27" s="308">
        <f t="shared" si="4"/>
        <v>11309106</v>
      </c>
      <c r="H27" s="308">
        <f t="shared" si="4"/>
        <v>11022916</v>
      </c>
      <c r="I27" s="315" t="str">
        <f>'OPĆI DIO'!$C$1</f>
        <v>48267 SVEUČILIŠTE SJEVER</v>
      </c>
    </row>
    <row r="28" spans="1:9">
      <c r="A28" s="277"/>
      <c r="B28" s="278">
        <v>31</v>
      </c>
      <c r="C28" s="278" t="s">
        <v>195</v>
      </c>
      <c r="D28" s="349">
        <f>5464169+13951+15871+16444+1403459+6988+365478</f>
        <v>7286360</v>
      </c>
      <c r="E28" s="349">
        <f>6447385+45789+8346+263095+1648761+18582+310196</f>
        <v>8742154</v>
      </c>
      <c r="F28" s="340">
        <f>SUMIF('Unos rashoda i izdataka'!$P$3:$P$501,$B28,'Unos rashoda i izdataka'!J$3:J$501)+SUMIF('Unos rashoda P4'!$S$3:$S$501,$B28,'Unos rashoda P4'!H$3:H$501)</f>
        <v>8853666</v>
      </c>
      <c r="G28" s="340">
        <f>SUMIF('Unos rashoda i izdataka'!$P$3:$P$501,$B28,'Unos rashoda i izdataka'!K$3:K$501)+SUMIF('Unos rashoda P4'!$S$3:$S$501,$B28,'Unos rashoda P4'!I$3:I$501)</f>
        <v>8521072</v>
      </c>
      <c r="H28" s="340">
        <f>SUMIF('Unos rashoda i izdataka'!$P$3:$P$501,$B28,'Unos rashoda i izdataka'!L$3:L$501)+SUMIF('Unos rashoda P4'!$S$3:$S$501,$B28,'Unos rashoda P4'!J$3:J$501)</f>
        <v>8474801</v>
      </c>
      <c r="I28" s="315" t="str">
        <f>'OPĆI DIO'!$C$1</f>
        <v>48267 SVEUČILIŠTE SJEVER</v>
      </c>
    </row>
    <row r="29" spans="1:9">
      <c r="A29" s="280"/>
      <c r="B29" s="280">
        <v>32</v>
      </c>
      <c r="C29" s="288" t="s">
        <v>196</v>
      </c>
      <c r="D29" s="350">
        <f>248537+24453+243395+410+219999+637274+24951+12480+868105</f>
        <v>2279604</v>
      </c>
      <c r="E29" s="350">
        <f>244314+63707+10000+325125+361006+192116+773972+13073+766610+25138</f>
        <v>2775061</v>
      </c>
      <c r="F29" s="340">
        <f>SUMIF('Unos rashoda i izdataka'!$P$3:$P$501,$B29,'Unos rashoda i izdataka'!J$3:J$501)+SUMIF('Unos rashoda P4'!$S$3:$S$501,$B29,'Unos rashoda P4'!H$3:H$501)</f>
        <v>2931784</v>
      </c>
      <c r="G29" s="340">
        <f>SUMIF('Unos rashoda i izdataka'!$P$3:$P$501,$B29,'Unos rashoda i izdataka'!K$3:K$501)+SUMIF('Unos rashoda P4'!$S$3:$S$501,$B29,'Unos rashoda P4'!I$3:I$501)</f>
        <v>2682994</v>
      </c>
      <c r="H29" s="340">
        <f>SUMIF('Unos rashoda i izdataka'!$P$3:$P$501,$B29,'Unos rashoda i izdataka'!L$3:L$501)+SUMIF('Unos rashoda P4'!$S$3:$S$501,$B29,'Unos rashoda P4'!J$3:J$501)</f>
        <v>2443075</v>
      </c>
      <c r="I29" s="315" t="str">
        <f>'OPĆI DIO'!$C$1</f>
        <v>48267 SVEUČILIŠTE SJEVER</v>
      </c>
    </row>
    <row r="30" spans="1:9">
      <c r="A30" s="280"/>
      <c r="B30" s="280">
        <v>34</v>
      </c>
      <c r="C30" s="288" t="s">
        <v>197</v>
      </c>
      <c r="D30" s="350">
        <f>61663+6</f>
        <v>61669</v>
      </c>
      <c r="E30" s="350">
        <v>6676</v>
      </c>
      <c r="F30" s="340">
        <f>SUMIF('Unos rashoda i izdataka'!$P$3:$P$501,$B30,'Unos rashoda i izdataka'!J$3:J$501)+SUMIF('Unos rashoda P4'!$S$3:$S$501,$B30,'Unos rashoda P4'!H$3:H$501)</f>
        <v>8040</v>
      </c>
      <c r="G30" s="340">
        <f>SUMIF('Unos rashoda i izdataka'!$P$3:$P$501,$B30,'Unos rashoda i izdataka'!K$3:K$501)+SUMIF('Unos rashoda P4'!$S$3:$S$501,$B30,'Unos rashoda P4'!I$3:I$501)</f>
        <v>8040</v>
      </c>
      <c r="H30" s="340">
        <f>SUMIF('Unos rashoda i izdataka'!$P$3:$P$501,$B30,'Unos rashoda i izdataka'!L$3:L$501)+SUMIF('Unos rashoda P4'!$S$3:$S$501,$B30,'Unos rashoda P4'!J$3:J$501)</f>
        <v>8040</v>
      </c>
      <c r="I30" s="315" t="str">
        <f>'OPĆI DIO'!$C$1</f>
        <v>48267 SVEUČILIŠTE SJEVER</v>
      </c>
    </row>
    <row r="31" spans="1:9">
      <c r="A31" s="280"/>
      <c r="B31" s="280">
        <v>35</v>
      </c>
      <c r="C31" s="288" t="s">
        <v>244</v>
      </c>
      <c r="D31" s="350">
        <v>0</v>
      </c>
      <c r="E31" s="350">
        <v>0</v>
      </c>
      <c r="F31" s="340">
        <f>SUMIF('Unos rashoda i izdataka'!$P$3:$P$501,$B31,'Unos rashoda i izdataka'!J$3:J$501)+SUMIF('Unos rashoda P4'!$S$3:$S$501,$B31,'Unos rashoda P4'!H$3:H$501)</f>
        <v>0</v>
      </c>
      <c r="G31" s="340">
        <f>SUMIF('Unos rashoda i izdataka'!$P$3:$P$501,$B31,'Unos rashoda i izdataka'!K$3:K$501)+SUMIF('Unos rashoda P4'!$S$3:$S$501,$B31,'Unos rashoda P4'!I$3:I$501)</f>
        <v>0</v>
      </c>
      <c r="H31" s="340">
        <f>SUMIF('Unos rashoda i izdataka'!$P$3:$P$501,$B31,'Unos rashoda i izdataka'!L$3:L$501)+SUMIF('Unos rashoda P4'!$S$3:$S$501,$B31,'Unos rashoda P4'!J$3:J$501)</f>
        <v>0</v>
      </c>
      <c r="I31" s="315" t="str">
        <f>'OPĆI DIO'!$C$1</f>
        <v>48267 SVEUČILIŠTE SJEVER</v>
      </c>
    </row>
    <row r="32" spans="1:9" ht="30">
      <c r="A32" s="280"/>
      <c r="B32" s="280">
        <v>36</v>
      </c>
      <c r="C32" s="288" t="s">
        <v>198</v>
      </c>
      <c r="D32" s="350">
        <v>0</v>
      </c>
      <c r="E32" s="350">
        <v>0</v>
      </c>
      <c r="F32" s="340">
        <f>SUMIF('Unos rashoda i izdataka'!$P$3:$P$501,$B32,'Unos rashoda i izdataka'!J$3:J$501)+SUMIF('Unos rashoda P4'!$S$3:$S$501,$B32,'Unos rashoda P4'!H$3:H$501)</f>
        <v>0</v>
      </c>
      <c r="G32" s="340">
        <f>SUMIF('Unos rashoda i izdataka'!$P$3:$P$501,$B32,'Unos rashoda i izdataka'!K$3:K$501)+SUMIF('Unos rashoda P4'!$S$3:$S$501,$B32,'Unos rashoda P4'!I$3:I$501)</f>
        <v>0</v>
      </c>
      <c r="H32" s="340">
        <f>SUMIF('Unos rashoda i izdataka'!$P$3:$P$501,$B32,'Unos rashoda i izdataka'!L$3:L$501)+SUMIF('Unos rashoda P4'!$S$3:$S$501,$B32,'Unos rashoda P4'!J$3:J$501)</f>
        <v>0</v>
      </c>
      <c r="I32" s="315" t="str">
        <f>'OPĆI DIO'!$C$1</f>
        <v>48267 SVEUČILIŠTE SJEVER</v>
      </c>
    </row>
    <row r="33" spans="1:9" ht="30">
      <c r="A33" s="280"/>
      <c r="B33" s="280">
        <v>37</v>
      </c>
      <c r="C33" s="288" t="s">
        <v>245</v>
      </c>
      <c r="D33" s="350">
        <f>47676+31256</f>
        <v>78932</v>
      </c>
      <c r="E33" s="350">
        <f>39817+1327+36707</f>
        <v>77851</v>
      </c>
      <c r="F33" s="340">
        <f>SUMIF('Unos rashoda i izdataka'!$P$3:$P$501,$B33,'Unos rashoda i izdataka'!J$3:J$501)+SUMIF('Unos rashoda P4'!$S$3:$S$501,$B33,'Unos rashoda P4'!H$3:H$501)</f>
        <v>64500</v>
      </c>
      <c r="G33" s="340">
        <f>SUMIF('Unos rashoda i izdataka'!$P$3:$P$501,$B33,'Unos rashoda i izdataka'!K$3:K$501)+SUMIF('Unos rashoda P4'!$S$3:$S$501,$B33,'Unos rashoda P4'!I$3:I$501)</f>
        <v>63000</v>
      </c>
      <c r="H33" s="340">
        <f>SUMIF('Unos rashoda i izdataka'!$P$3:$P$501,$B33,'Unos rashoda i izdataka'!L$3:L$501)+SUMIF('Unos rashoda P4'!$S$3:$S$501,$B33,'Unos rashoda P4'!J$3:J$501)</f>
        <v>63000</v>
      </c>
      <c r="I33" s="315" t="str">
        <f>'OPĆI DIO'!$C$1</f>
        <v>48267 SVEUČILIŠTE SJEVER</v>
      </c>
    </row>
    <row r="34" spans="1:9">
      <c r="A34" s="280"/>
      <c r="B34" s="280">
        <v>38</v>
      </c>
      <c r="C34" s="288" t="s">
        <v>199</v>
      </c>
      <c r="D34" s="350">
        <f>13140+378</f>
        <v>13518</v>
      </c>
      <c r="E34" s="350">
        <f>13272+27394</f>
        <v>40666</v>
      </c>
      <c r="F34" s="340">
        <f>SUMIF('Unos rashoda i izdataka'!$P$3:$P$501,$B34,'Unos rashoda i izdataka'!J$3:J$501)+SUMIF('Unos rashoda P4'!$S$3:$S$501,$B34,'Unos rashoda P4'!H$3:H$501)</f>
        <v>34000</v>
      </c>
      <c r="G34" s="340">
        <f>SUMIF('Unos rashoda i izdataka'!$P$3:$P$501,$B34,'Unos rashoda i izdataka'!K$3:K$501)+SUMIF('Unos rashoda P4'!$S$3:$S$501,$B34,'Unos rashoda P4'!I$3:I$501)</f>
        <v>34000</v>
      </c>
      <c r="H34" s="340">
        <f>SUMIF('Unos rashoda i izdataka'!$P$3:$P$501,$B34,'Unos rashoda i izdataka'!L$3:L$501)+SUMIF('Unos rashoda P4'!$S$3:$S$501,$B34,'Unos rashoda P4'!J$3:J$501)</f>
        <v>34000</v>
      </c>
      <c r="I34" s="315" t="str">
        <f>'OPĆI DIO'!$C$1</f>
        <v>48267 SVEUČILIŠTE SJEVER</v>
      </c>
    </row>
    <row r="35" spans="1:9" ht="30">
      <c r="A35" s="284">
        <v>4</v>
      </c>
      <c r="B35" s="285"/>
      <c r="C35" s="286" t="s">
        <v>4785</v>
      </c>
      <c r="D35" s="308">
        <f>SUM(D36:D40)</f>
        <v>943084</v>
      </c>
      <c r="E35" s="308">
        <f t="shared" ref="E35:H35" si="5">SUM(E36:E40)</f>
        <v>4582131</v>
      </c>
      <c r="F35" s="308">
        <f t="shared" si="5"/>
        <v>6532799</v>
      </c>
      <c r="G35" s="308">
        <f t="shared" si="5"/>
        <v>564011</v>
      </c>
      <c r="H35" s="308">
        <f t="shared" si="5"/>
        <v>567011</v>
      </c>
      <c r="I35" s="315" t="str">
        <f>'OPĆI DIO'!$C$1</f>
        <v>48267 SVEUČILIŠTE SJEVER</v>
      </c>
    </row>
    <row r="36" spans="1:9" ht="30">
      <c r="A36" s="278"/>
      <c r="B36" s="278">
        <v>41</v>
      </c>
      <c r="C36" s="287" t="s">
        <v>246</v>
      </c>
      <c r="D36" s="349">
        <f>538449+50+16545</f>
        <v>555044</v>
      </c>
      <c r="E36" s="349">
        <f>510983+59169</f>
        <v>570152</v>
      </c>
      <c r="F36" s="340">
        <f>SUMIF('Unos rashoda i izdataka'!$P$3:$P$501,$B36,'Unos rashoda i izdataka'!J$3:J$501)+SUMIF('Unos rashoda P4'!$S$3:$S$501,$B36,'Unos rashoda P4'!H$3:H$501)</f>
        <v>2550185</v>
      </c>
      <c r="G36" s="340">
        <f>SUMIF('Unos rashoda i izdataka'!$P$3:$P$501,$B36,'Unos rashoda i izdataka'!K$3:K$501)+SUMIF('Unos rashoda P4'!$S$3:$S$501,$B36,'Unos rashoda P4'!I$3:I$501)</f>
        <v>108169</v>
      </c>
      <c r="H36" s="340">
        <f>SUMIF('Unos rashoda i izdataka'!$P$3:$P$501,$B36,'Unos rashoda i izdataka'!L$3:L$501)+SUMIF('Unos rashoda P4'!$S$3:$S$501,$B36,'Unos rashoda P4'!J$3:J$501)</f>
        <v>108169</v>
      </c>
      <c r="I36" s="315" t="str">
        <f>'OPĆI DIO'!$C$1</f>
        <v>48267 SVEUČILIŠTE SJEVER</v>
      </c>
    </row>
    <row r="37" spans="1:9" ht="30">
      <c r="A37" s="278"/>
      <c r="B37" s="278">
        <v>42</v>
      </c>
      <c r="C37" s="287" t="s">
        <v>227</v>
      </c>
      <c r="D37" s="349">
        <f>287480+51145+780+48635</f>
        <v>388040</v>
      </c>
      <c r="E37" s="349">
        <f>3939214+20572+1327+2654+48212</f>
        <v>4011979</v>
      </c>
      <c r="F37" s="340">
        <f>SUMIF('Unos rashoda i izdataka'!$P$3:$P$501,$B37,'Unos rashoda i izdataka'!J$3:J$501)+SUMIF('Unos rashoda P4'!$S$3:$S$501,$B37,'Unos rashoda P4'!H$3:H$501)</f>
        <v>3982614</v>
      </c>
      <c r="G37" s="340">
        <f>SUMIF('Unos rashoda i izdataka'!$P$3:$P$501,$B37,'Unos rashoda i izdataka'!K$3:K$501)+SUMIF('Unos rashoda P4'!$S$3:$S$501,$B37,'Unos rashoda P4'!I$3:I$501)</f>
        <v>455842</v>
      </c>
      <c r="H37" s="340">
        <f>SUMIF('Unos rashoda i izdataka'!$P$3:$P$501,$B37,'Unos rashoda i izdataka'!L$3:L$501)+SUMIF('Unos rashoda P4'!$S$3:$S$501,$B37,'Unos rashoda P4'!J$3:J$501)</f>
        <v>458842</v>
      </c>
      <c r="I37" s="315" t="str">
        <f>'OPĆI DIO'!$C$1</f>
        <v>48267 SVEUČILIŠTE SJEVER</v>
      </c>
    </row>
    <row r="38" spans="1:9" ht="30">
      <c r="A38" s="278"/>
      <c r="B38" s="278">
        <v>43</v>
      </c>
      <c r="C38" s="287" t="s">
        <v>247</v>
      </c>
      <c r="D38" s="349">
        <v>0</v>
      </c>
      <c r="E38" s="349">
        <v>0</v>
      </c>
      <c r="F38" s="340">
        <f>SUMIF('Unos rashoda i izdataka'!$P$3:$P$501,$B38,'Unos rashoda i izdataka'!J$3:J$501)+SUMIF('Unos rashoda P4'!$S$3:$S$501,$B38,'Unos rashoda P4'!H$3:H$501)</f>
        <v>0</v>
      </c>
      <c r="G38" s="340">
        <f>SUMIF('Unos rashoda i izdataka'!$P$3:$P$501,$B38,'Unos rashoda i izdataka'!K$3:K$501)+SUMIF('Unos rashoda P4'!$S$3:$S$501,$B38,'Unos rashoda P4'!I$3:I$501)</f>
        <v>0</v>
      </c>
      <c r="H38" s="340">
        <f>SUMIF('Unos rashoda i izdataka'!$P$3:$P$501,$B38,'Unos rashoda i izdataka'!L$3:L$501)+SUMIF('Unos rashoda P4'!$S$3:$S$501,$B38,'Unos rashoda P4'!J$3:J$501)</f>
        <v>0</v>
      </c>
      <c r="I38" s="315" t="str">
        <f>'OPĆI DIO'!$C$1</f>
        <v>48267 SVEUČILIŠTE SJEVER</v>
      </c>
    </row>
    <row r="39" spans="1:9" ht="30">
      <c r="A39" s="278"/>
      <c r="B39" s="278">
        <v>44</v>
      </c>
      <c r="C39" s="287" t="s">
        <v>248</v>
      </c>
      <c r="D39" s="349">
        <v>0</v>
      </c>
      <c r="E39" s="349">
        <v>0</v>
      </c>
      <c r="F39" s="340">
        <f>SUMIF('Unos rashoda i izdataka'!$P$3:$P$501,$B39,'Unos rashoda i izdataka'!J$3:J$501)+SUMIF('Unos rashoda P4'!$S$3:$S$501,$B39,'Unos rashoda P4'!H$3:H$501)</f>
        <v>0</v>
      </c>
      <c r="G39" s="340">
        <f>SUMIF('Unos rashoda i izdataka'!$P$3:$P$501,$B39,'Unos rashoda i izdataka'!K$3:K$501)+SUMIF('Unos rashoda P4'!$S$3:$S$501,$B39,'Unos rashoda P4'!I$3:I$501)</f>
        <v>0</v>
      </c>
      <c r="H39" s="340">
        <f>SUMIF('Unos rashoda i izdataka'!$P$3:$P$501,$B39,'Unos rashoda i izdataka'!L$3:L$501)+SUMIF('Unos rashoda P4'!$S$3:$S$501,$B39,'Unos rashoda P4'!J$3:J$501)</f>
        <v>0</v>
      </c>
      <c r="I39" s="315" t="str">
        <f>'OPĆI DIO'!$C$1</f>
        <v>48267 SVEUČILIŠTE SJEVER</v>
      </c>
    </row>
    <row r="40" spans="1:9" ht="30">
      <c r="A40" s="278"/>
      <c r="B40" s="278">
        <v>45</v>
      </c>
      <c r="C40" s="287" t="s">
        <v>200</v>
      </c>
      <c r="D40" s="349">
        <v>0</v>
      </c>
      <c r="E40" s="349">
        <v>0</v>
      </c>
      <c r="F40" s="340">
        <f>SUMIF('Unos rashoda i izdataka'!$P$3:$P$501,$B40,'Unos rashoda i izdataka'!J$3:J$501)+SUMIF('Unos rashoda P4'!$S$3:$S$501,$B40,'Unos rashoda P4'!H$3:H$501)</f>
        <v>0</v>
      </c>
      <c r="G40" s="340">
        <f>SUMIF('Unos rashoda i izdataka'!$P$3:$P$501,$B40,'Unos rashoda i izdataka'!K$3:K$501)+SUMIF('Unos rashoda P4'!$S$3:$S$501,$B40,'Unos rashoda P4'!I$3:I$501)</f>
        <v>0</v>
      </c>
      <c r="H40" s="340">
        <f>SUMIF('Unos rashoda i izdataka'!$P$3:$P$501,$B40,'Unos rashoda i izdataka'!L$3:L$501)+SUMIF('Unos rashoda P4'!$S$3:$S$501,$B40,'Unos rashoda P4'!J$3:J$501)</f>
        <v>0</v>
      </c>
      <c r="I40" s="315" t="str">
        <f>'OPĆI DIO'!$C$1</f>
        <v>48267 SVEUČILIŠTE SJEVER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0866141732283472" right="0.70866141732283472" top="0.74803149606299213" bottom="0.74803149606299213" header="0.31496062992125984" footer="0.31496062992125984"/>
  <pageSetup paperSize="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120" zoomScaleNormal="12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D32" sqref="D32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2" t="s">
        <v>4786</v>
      </c>
      <c r="C1" s="392"/>
      <c r="D1" s="392"/>
      <c r="E1" s="392"/>
      <c r="F1" s="392"/>
      <c r="G1" s="392"/>
    </row>
    <row r="2" spans="1:8">
      <c r="B2" s="272"/>
      <c r="C2" s="272"/>
      <c r="D2" s="272"/>
      <c r="E2" s="272"/>
      <c r="F2" s="272"/>
      <c r="G2" s="272"/>
    </row>
    <row r="3" spans="1:8" ht="30">
      <c r="A3" s="363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4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3"/>
      <c r="B5" s="358" t="s">
        <v>3966</v>
      </c>
      <c r="C5" s="310">
        <f>+C6+C9+C11+C14+C25+C28</f>
        <v>9954508.1700000018</v>
      </c>
      <c r="D5" s="310">
        <f>+D6+D9+D11+D14+D25+D28</f>
        <v>11627092</v>
      </c>
      <c r="E5" s="310">
        <f>+E6+E9+E11+E14+E25+E28</f>
        <v>13911332</v>
      </c>
      <c r="F5" s="310">
        <f>+F6+F9+F11+F14+F25+F28</f>
        <v>11913326</v>
      </c>
      <c r="G5" s="310">
        <f>+G6+G9+G11+G14+G25+G28</f>
        <v>11998382</v>
      </c>
      <c r="H5" s="315" t="str">
        <f>'OPĆI DIO'!$C$1</f>
        <v>48267 SVEUČILIŠTE SJEVER</v>
      </c>
    </row>
    <row r="6" spans="1:8">
      <c r="A6" s="363">
        <v>1</v>
      </c>
      <c r="B6" s="359" t="s">
        <v>4787</v>
      </c>
      <c r="C6" s="311">
        <f>+C7+C8</f>
        <v>6453161.4400000004</v>
      </c>
      <c r="D6" s="309">
        <f t="shared" ref="D6:G6" si="0">+D7+D8</f>
        <v>7978399</v>
      </c>
      <c r="E6" s="309">
        <f t="shared" si="0"/>
        <v>10619092</v>
      </c>
      <c r="F6" s="309">
        <f t="shared" si="0"/>
        <v>8145851</v>
      </c>
      <c r="G6" s="309">
        <f t="shared" si="0"/>
        <v>8149526</v>
      </c>
      <c r="H6" s="315" t="str">
        <f>'OPĆI DIO'!$C$1</f>
        <v>48267 SVEUČILIŠTE SJEVER</v>
      </c>
    </row>
    <row r="7" spans="1:8">
      <c r="A7" s="363">
        <v>11</v>
      </c>
      <c r="B7" s="360" t="s">
        <v>4788</v>
      </c>
      <c r="C7" s="348">
        <f>6453161.44</f>
        <v>6453161.4400000004</v>
      </c>
      <c r="D7" s="348">
        <f>6704972+1248289+25138</f>
        <v>7978399</v>
      </c>
      <c r="E7" s="338">
        <f>SUMIF('Unos prihoda i primitaka'!$C$3:$C$501,$A7,'Unos prihoda i primitaka'!G$3:G$501)</f>
        <v>10619092</v>
      </c>
      <c r="F7" s="338">
        <f>SUMIF('Unos prihoda i primitaka'!$C$3:$C$501,$A7,'Unos prihoda i primitaka'!H$3:H$501)</f>
        <v>8145851</v>
      </c>
      <c r="G7" s="338">
        <f>SUMIF('Unos prihoda i primitaka'!$C$3:$C$501,$A7,'Unos prihoda i primitaka'!I$3:I$501)</f>
        <v>8149526</v>
      </c>
      <c r="H7" s="315" t="str">
        <f>'OPĆI DIO'!$C$1</f>
        <v>48267 SVEUČILIŠTE SJEVER</v>
      </c>
    </row>
    <row r="8" spans="1:8">
      <c r="A8" s="363">
        <v>12</v>
      </c>
      <c r="B8" s="361" t="s">
        <v>4789</v>
      </c>
      <c r="C8" s="348">
        <v>0</v>
      </c>
      <c r="D8" s="348">
        <v>0</v>
      </c>
      <c r="E8" s="338">
        <f>SUMIF('Unos prihoda i primitaka'!$C$3:$C$501,$A8,'Unos prihoda i primitaka'!G$3:G$501)</f>
        <v>0</v>
      </c>
      <c r="F8" s="338">
        <f>SUMIF('Unos prihoda i primitaka'!$C$3:$C$501,$A8,'Unos prihoda i primitaka'!H$3:H$501)</f>
        <v>0</v>
      </c>
      <c r="G8" s="338">
        <f>SUMIF('Unos prihoda i primitaka'!$C$3:$C$501,$A8,'Unos prihoda i primitaka'!I$3:I$501)</f>
        <v>0</v>
      </c>
      <c r="H8" s="315" t="str">
        <f>'OPĆI DIO'!$C$1</f>
        <v>48267 SVEUČILIŠTE SJEVER</v>
      </c>
    </row>
    <row r="9" spans="1:8" s="346" customFormat="1">
      <c r="A9" s="365">
        <v>3</v>
      </c>
      <c r="B9" s="359" t="s">
        <v>4790</v>
      </c>
      <c r="C9" s="309">
        <f>+C10</f>
        <v>218365.61</v>
      </c>
      <c r="D9" s="309">
        <f t="shared" ref="D9:G9" si="1">+D10</f>
        <v>273077</v>
      </c>
      <c r="E9" s="309">
        <f t="shared" si="1"/>
        <v>515329</v>
      </c>
      <c r="F9" s="309">
        <f t="shared" si="1"/>
        <v>782500</v>
      </c>
      <c r="G9" s="309">
        <f t="shared" si="1"/>
        <v>819000</v>
      </c>
      <c r="H9" s="315" t="str">
        <f>'OPĆI DIO'!$C$1</f>
        <v>48267 SVEUČILIŠTE SJEVER</v>
      </c>
    </row>
    <row r="10" spans="1:8">
      <c r="A10" s="363">
        <v>31</v>
      </c>
      <c r="B10" s="362" t="s">
        <v>4791</v>
      </c>
      <c r="C10" s="348">
        <v>218365.61</v>
      </c>
      <c r="D10" s="348">
        <f>332+1991+5309+265445</f>
        <v>273077</v>
      </c>
      <c r="E10" s="338">
        <f>SUMIF('Unos prihoda i primitaka'!$C$3:$C$501,$A10,'Unos prihoda i primitaka'!G$3:G$501)</f>
        <v>515329</v>
      </c>
      <c r="F10" s="338">
        <f>SUMIF('Unos prihoda i primitaka'!$C$3:$C$501,$A10,'Unos prihoda i primitaka'!H$3:H$501)</f>
        <v>782500</v>
      </c>
      <c r="G10" s="338">
        <f>SUMIF('Unos prihoda i primitaka'!$C$3:$C$501,$A10,'Unos prihoda i primitaka'!I$3:I$501)</f>
        <v>819000</v>
      </c>
      <c r="H10" s="315" t="str">
        <f>'OPĆI DIO'!$C$1</f>
        <v>48267 SVEUČILIŠTE SJEVER</v>
      </c>
    </row>
    <row r="11" spans="1:8" s="346" customFormat="1">
      <c r="A11" s="365">
        <v>4</v>
      </c>
      <c r="B11" s="359" t="s">
        <v>4792</v>
      </c>
      <c r="C11" s="309">
        <f>+C12+C13</f>
        <v>2816014.67</v>
      </c>
      <c r="D11" s="309">
        <f t="shared" ref="D11:G11" si="2">+D12+D13</f>
        <v>2528370</v>
      </c>
      <c r="E11" s="309">
        <f t="shared" si="2"/>
        <v>2531369</v>
      </c>
      <c r="F11" s="309">
        <f t="shared" si="2"/>
        <v>2774530</v>
      </c>
      <c r="G11" s="309">
        <f t="shared" si="2"/>
        <v>2899600</v>
      </c>
      <c r="H11" s="315" t="str">
        <f>'OPĆI DIO'!$C$1</f>
        <v>48267 SVEUČILIŠTE SJEVER</v>
      </c>
    </row>
    <row r="12" spans="1:8">
      <c r="A12" s="363">
        <v>41</v>
      </c>
      <c r="B12" s="362" t="s">
        <v>4793</v>
      </c>
      <c r="C12" s="348">
        <v>0</v>
      </c>
      <c r="D12" s="348">
        <v>0</v>
      </c>
      <c r="E12" s="338">
        <f>SUMIF('Unos prihoda i primitaka'!$C$3:$C$501,$A12,'Unos prihoda i primitaka'!G$3:G$501)</f>
        <v>0</v>
      </c>
      <c r="F12" s="338">
        <f>SUMIF('Unos prihoda i primitaka'!$C$3:$C$501,$A12,'Unos prihoda i primitaka'!H$3:H$501)</f>
        <v>0</v>
      </c>
      <c r="G12" s="338">
        <f>SUMIF('Unos prihoda i primitaka'!$C$3:$C$501,$A12,'Unos prihoda i primitaka'!I$3:I$501)</f>
        <v>0</v>
      </c>
      <c r="H12" s="315" t="str">
        <f>'OPĆI DIO'!$C$1</f>
        <v>48267 SVEUČILIŠTE SJEVER</v>
      </c>
    </row>
    <row r="13" spans="1:8">
      <c r="A13" s="366">
        <v>43</v>
      </c>
      <c r="B13" s="362" t="s">
        <v>4794</v>
      </c>
      <c r="C13" s="348">
        <v>2816014.67</v>
      </c>
      <c r="D13" s="348">
        <v>2528370</v>
      </c>
      <c r="E13" s="338">
        <f>SUMIF('Unos prihoda i primitaka'!$C$3:$C$501,$A13,'Unos prihoda i primitaka'!G$3:G$501)-'B.2 RAČUN FINANC IF'!E7</f>
        <v>2531369</v>
      </c>
      <c r="F13" s="338">
        <f>SUMIF('Unos prihoda i primitaka'!$C$3:$C$501,$A13,'Unos prihoda i primitaka'!H$3:H$501)-'B.2 RAČUN FINANC IF'!F7</f>
        <v>2774530</v>
      </c>
      <c r="G13" s="338">
        <f>SUMIF('Unos prihoda i primitaka'!$C$3:$C$501,$A13,'Unos prihoda i primitaka'!I$3:I$501)-'B.2 RAČUN FINANC IF'!G7</f>
        <v>2899600</v>
      </c>
      <c r="H13" s="315" t="str">
        <f>'OPĆI DIO'!$C$1</f>
        <v>48267 SVEUČILIŠTE SJEVER</v>
      </c>
    </row>
    <row r="14" spans="1:8" s="346" customFormat="1">
      <c r="A14" s="365">
        <v>5</v>
      </c>
      <c r="B14" s="359" t="s">
        <v>4795</v>
      </c>
      <c r="C14" s="309">
        <f>SUM(C15:C24)</f>
        <v>427189.91000000003</v>
      </c>
      <c r="D14" s="309">
        <f>SUM(D15:D24)</f>
        <v>155376</v>
      </c>
      <c r="E14" s="309">
        <f>SUM(E15:E24)</f>
        <v>210888</v>
      </c>
      <c r="F14" s="309">
        <f>SUM(F15:F24)</f>
        <v>164791</v>
      </c>
      <c r="G14" s="309">
        <f>SUM(G15:G24)</f>
        <v>74602</v>
      </c>
      <c r="H14" s="315" t="str">
        <f>'OPĆI DIO'!$C$1</f>
        <v>48267 SVEUČILIŠTE SJEVER</v>
      </c>
    </row>
    <row r="15" spans="1:8">
      <c r="A15" s="363">
        <v>51</v>
      </c>
      <c r="B15" s="362" t="s">
        <v>4796</v>
      </c>
      <c r="C15" s="348">
        <v>95260.65</v>
      </c>
      <c r="D15" s="348">
        <v>10000</v>
      </c>
      <c r="E15" s="338">
        <f>SUMIF('Unos prihoda i primitaka'!$C$3:$C$501,$A15,'Unos prihoda i primitaka'!G$3:G$501)</f>
        <v>41120</v>
      </c>
      <c r="F15" s="338">
        <f>SUMIF('Unos prihoda i primitaka'!$C$3:$C$501,$A15,'Unos prihoda i primitaka'!H$3:H$501)</f>
        <v>27620</v>
      </c>
      <c r="G15" s="338">
        <f>SUMIF('Unos prihoda i primitaka'!$C$3:$C$501,$A15,'Unos prihoda i primitaka'!I$3:I$501)</f>
        <v>0</v>
      </c>
      <c r="H15" s="315" t="str">
        <f>'OPĆI DIO'!$C$1</f>
        <v>48267 SVEUČILIŠTE SJEVER</v>
      </c>
    </row>
    <row r="16" spans="1:8">
      <c r="A16" s="363">
        <v>52</v>
      </c>
      <c r="B16" s="362" t="s">
        <v>4797</v>
      </c>
      <c r="C16" s="348">
        <v>331929.26</v>
      </c>
      <c r="D16" s="348">
        <f>5645+83476+2701+53554</f>
        <v>145376</v>
      </c>
      <c r="E16" s="338">
        <f>SUMIF('Unos prihoda i primitaka'!$C$3:$C$501,$A16,'Unos prihoda i primitaka'!G$3:G$501)</f>
        <v>169768</v>
      </c>
      <c r="F16" s="338">
        <f>SUMIF('Unos prihoda i primitaka'!$C$3:$C$501,$A16,'Unos prihoda i primitaka'!H$3:H$501)</f>
        <v>137171</v>
      </c>
      <c r="G16" s="338">
        <f>SUMIF('Unos prihoda i primitaka'!$C$3:$C$501,$A16,'Unos prihoda i primitaka'!I$3:I$501)</f>
        <v>74602</v>
      </c>
      <c r="H16" s="315" t="str">
        <f>'OPĆI DIO'!$C$1</f>
        <v>48267 SVEUČILIŠTE SJEVER</v>
      </c>
    </row>
    <row r="17" spans="1:8">
      <c r="A17" s="363">
        <v>552</v>
      </c>
      <c r="B17" s="362" t="s">
        <v>4798</v>
      </c>
      <c r="C17" s="348">
        <v>0</v>
      </c>
      <c r="D17" s="348">
        <v>0</v>
      </c>
      <c r="E17" s="338">
        <f>SUMIF('Unos prihoda i primitaka'!$C$3:$C$501,$A17,'Unos prihoda i primitaka'!G$3:G$501)</f>
        <v>0</v>
      </c>
      <c r="F17" s="338">
        <f>SUMIF('Unos prihoda i primitaka'!$C$3:$C$501,$A17,'Unos prihoda i primitaka'!H$3:H$501)</f>
        <v>0</v>
      </c>
      <c r="G17" s="338">
        <f>SUMIF('Unos prihoda i primitaka'!$C$3:$C$501,$A17,'Unos prihoda i primitaka'!I$3:I$501)</f>
        <v>0</v>
      </c>
      <c r="H17" s="315" t="str">
        <f>'OPĆI DIO'!$C$1</f>
        <v>48267 SVEUČILIŠTE SJEVER</v>
      </c>
    </row>
    <row r="18" spans="1:8">
      <c r="A18" s="363">
        <v>559</v>
      </c>
      <c r="B18" s="362" t="s">
        <v>4799</v>
      </c>
      <c r="C18" s="348">
        <v>0</v>
      </c>
      <c r="D18" s="348">
        <v>0</v>
      </c>
      <c r="E18" s="338">
        <f>SUMIF('Unos prihoda i primitaka'!$C$3:$C$501,$A18,'Unos prihoda i primitaka'!G$3:G$501)</f>
        <v>0</v>
      </c>
      <c r="F18" s="338">
        <f>SUMIF('Unos prihoda i primitaka'!$C$3:$C$501,$A18,'Unos prihoda i primitaka'!H$3:H$501)</f>
        <v>0</v>
      </c>
      <c r="G18" s="338">
        <f>SUMIF('Unos prihoda i primitaka'!$C$3:$C$501,$A18,'Unos prihoda i primitaka'!I$3:I$501)</f>
        <v>0</v>
      </c>
      <c r="H18" s="315" t="str">
        <f>'OPĆI DIO'!$C$1</f>
        <v>48267 SVEUČILIŠTE SJEVER</v>
      </c>
    </row>
    <row r="19" spans="1:8">
      <c r="A19" s="363">
        <v>561</v>
      </c>
      <c r="B19" s="362" t="s">
        <v>4800</v>
      </c>
      <c r="C19" s="348">
        <v>0</v>
      </c>
      <c r="D19" s="348">
        <v>0</v>
      </c>
      <c r="E19" s="338">
        <f>SUMIF('Unos prihoda i primitaka'!$C$3:$C$501,$A19,'Unos prihoda i primitaka'!G$3:G$501)</f>
        <v>0</v>
      </c>
      <c r="F19" s="338">
        <f>SUMIF('Unos prihoda i primitaka'!$C$3:$C$501,$A19,'Unos prihoda i primitaka'!H$3:H$501)</f>
        <v>0</v>
      </c>
      <c r="G19" s="338">
        <f>SUMIF('Unos prihoda i primitaka'!$C$3:$C$501,$A19,'Unos prihoda i primitaka'!I$3:I$501)</f>
        <v>0</v>
      </c>
      <c r="H19" s="315" t="str">
        <f>'OPĆI DIO'!$C$1</f>
        <v>48267 SVEUČILIŠTE SJEVER</v>
      </c>
    </row>
    <row r="20" spans="1:8" ht="18" customHeight="1">
      <c r="A20" s="363">
        <v>563</v>
      </c>
      <c r="B20" s="362" t="s">
        <v>4801</v>
      </c>
      <c r="C20" s="348">
        <v>0</v>
      </c>
      <c r="D20" s="348">
        <v>0</v>
      </c>
      <c r="E20" s="338">
        <f>SUMIF('Unos prihoda i primitaka'!$C$3:$C$501,$A20,'Unos prihoda i primitaka'!G$3:G$501)</f>
        <v>0</v>
      </c>
      <c r="F20" s="338">
        <f>SUMIF('Unos prihoda i primitaka'!$C$3:$C$501,$A20,'Unos prihoda i primitaka'!H$3:H$501)</f>
        <v>0</v>
      </c>
      <c r="G20" s="338">
        <f>SUMIF('Unos prihoda i primitaka'!$C$3:$C$501,$A20,'Unos prihoda i primitaka'!I$3:I$501)</f>
        <v>0</v>
      </c>
      <c r="H20" s="315" t="str">
        <f>'OPĆI DIO'!$C$1</f>
        <v>48267 SVEUČILIŠTE SJEVER</v>
      </c>
    </row>
    <row r="21" spans="1:8" ht="30">
      <c r="A21" s="363">
        <v>573</v>
      </c>
      <c r="B21" s="362" t="s">
        <v>1020</v>
      </c>
      <c r="C21" s="348">
        <v>0</v>
      </c>
      <c r="D21" s="348">
        <v>0</v>
      </c>
      <c r="E21" s="338">
        <f>SUMIF('Unos prihoda i primitaka'!$C$3:$C$501,$A21,'Unos prihoda i primitaka'!G$3:G$501)</f>
        <v>0</v>
      </c>
      <c r="F21" s="338">
        <f>SUMIF('Unos prihoda i primitaka'!$C$3:$C$501,$A21,'Unos prihoda i primitaka'!H$3:H$501)</f>
        <v>0</v>
      </c>
      <c r="G21" s="338">
        <f>SUMIF('Unos prihoda i primitaka'!$C$3:$C$501,$A21,'Unos prihoda i primitaka'!I$3:I$501)</f>
        <v>0</v>
      </c>
      <c r="H21" s="315" t="str">
        <f>'OPĆI DIO'!$C$1</f>
        <v>48267 SVEUČILIŠTE SJEVER</v>
      </c>
    </row>
    <row r="22" spans="1:8">
      <c r="A22" s="363">
        <v>575</v>
      </c>
      <c r="B22" s="362" t="s">
        <v>1021</v>
      </c>
      <c r="C22" s="348">
        <v>0</v>
      </c>
      <c r="D22" s="348">
        <v>0</v>
      </c>
      <c r="E22" s="338">
        <f>SUMIF('Unos prihoda i primitaka'!$C$3:$C$501,$A22,'Unos prihoda i primitaka'!G$3:G$501)</f>
        <v>0</v>
      </c>
      <c r="F22" s="338">
        <f>SUMIF('Unos prihoda i primitaka'!$C$3:$C$501,$A22,'Unos prihoda i primitaka'!H$3:H$501)</f>
        <v>0</v>
      </c>
      <c r="G22" s="338">
        <f>SUMIF('Unos prihoda i primitaka'!$C$3:$C$501,$A22,'Unos prihoda i primitaka'!I$3:I$501)</f>
        <v>0</v>
      </c>
      <c r="H22" s="315" t="str">
        <f>'OPĆI DIO'!$C$1</f>
        <v>48267 SVEUČILIŠTE SJEVER</v>
      </c>
    </row>
    <row r="23" spans="1:8" ht="30">
      <c r="A23" s="363">
        <v>576</v>
      </c>
      <c r="B23" s="362" t="s">
        <v>4819</v>
      </c>
      <c r="C23" s="348">
        <v>0</v>
      </c>
      <c r="D23" s="348">
        <v>0</v>
      </c>
      <c r="E23" s="338">
        <f>SUMIF('Unos prihoda i primitaka'!$C$3:$C$501,$A23,'Unos prihoda i primitaka'!G$3:G$501)</f>
        <v>0</v>
      </c>
      <c r="F23" s="338">
        <f>SUMIF('Unos prihoda i primitaka'!$C$3:$C$501,$A23,'Unos prihoda i primitaka'!H$3:H$501)</f>
        <v>0</v>
      </c>
      <c r="G23" s="338">
        <f>SUMIF('Unos prihoda i primitaka'!$C$3:$C$501,$A23,'Unos prihoda i primitaka'!I$3:I$501)</f>
        <v>0</v>
      </c>
      <c r="H23" s="315" t="str">
        <f>'OPĆI DIO'!$C$1</f>
        <v>48267 SVEUČILIŠTE SJEVER</v>
      </c>
    </row>
    <row r="24" spans="1:8">
      <c r="A24" s="363">
        <v>581</v>
      </c>
      <c r="B24" s="362" t="s">
        <v>4802</v>
      </c>
      <c r="C24" s="348">
        <v>0</v>
      </c>
      <c r="D24" s="348">
        <v>0</v>
      </c>
      <c r="E24" s="338">
        <f>SUMIF('Unos prihoda i primitaka'!$C$3:$C$501,$A24,'Unos prihoda i primitaka'!G$3:G$501)</f>
        <v>0</v>
      </c>
      <c r="F24" s="338">
        <f>SUMIF('Unos prihoda i primitaka'!$C$3:$C$501,$A24,'Unos prihoda i primitaka'!H$3:H$501)</f>
        <v>0</v>
      </c>
      <c r="G24" s="338">
        <f>SUMIF('Unos prihoda i primitaka'!$C$3:$C$501,$A24,'Unos prihoda i primitaka'!I$3:I$501)</f>
        <v>0</v>
      </c>
      <c r="H24" s="315" t="str">
        <f>'OPĆI DIO'!$C$1</f>
        <v>48267 SVEUČILIŠTE SJEVER</v>
      </c>
    </row>
    <row r="25" spans="1:8" s="346" customFormat="1">
      <c r="A25" s="365">
        <v>6</v>
      </c>
      <c r="B25" s="359" t="s">
        <v>4803</v>
      </c>
      <c r="C25" s="309">
        <f>SUM(C26:C27)</f>
        <v>38996.129999999997</v>
      </c>
      <c r="D25" s="309">
        <f t="shared" ref="D25:G25" si="3">SUM(D26:D27)</f>
        <v>689216</v>
      </c>
      <c r="E25" s="309">
        <f>SUM(E26:E27)</f>
        <v>32000</v>
      </c>
      <c r="F25" s="309">
        <f t="shared" si="3"/>
        <v>43000</v>
      </c>
      <c r="G25" s="309">
        <f t="shared" si="3"/>
        <v>53000</v>
      </c>
      <c r="H25" s="315" t="str">
        <f>'OPĆI DIO'!$C$1</f>
        <v>48267 SVEUČILIŠTE SJEVER</v>
      </c>
    </row>
    <row r="26" spans="1:8">
      <c r="A26" s="363">
        <v>61</v>
      </c>
      <c r="B26" s="362" t="s">
        <v>4804</v>
      </c>
      <c r="C26" s="348">
        <v>38996.129999999997</v>
      </c>
      <c r="D26" s="348">
        <f>5030+684186</f>
        <v>689216</v>
      </c>
      <c r="E26" s="338">
        <f>SUMIF('Unos prihoda i primitaka'!$C$3:$C$501,$A26,'Unos prihoda i primitaka'!G$3:G$501)</f>
        <v>32000</v>
      </c>
      <c r="F26" s="338">
        <f>SUMIF('Unos prihoda i primitaka'!$C$3:$C$501,$A26,'Unos prihoda i primitaka'!H$3:H$501)</f>
        <v>43000</v>
      </c>
      <c r="G26" s="338">
        <f>SUMIF('Unos prihoda i primitaka'!$C$3:$C$501,$A26,'Unos prihoda i primitaka'!I$3:I$501)</f>
        <v>53000</v>
      </c>
      <c r="H26" s="315" t="str">
        <f>'OPĆI DIO'!$C$1</f>
        <v>48267 SVEUČILIŠTE SJEVER</v>
      </c>
    </row>
    <row r="27" spans="1:8">
      <c r="A27" s="363">
        <v>63</v>
      </c>
      <c r="B27" s="362" t="s">
        <v>4805</v>
      </c>
      <c r="C27" s="348">
        <v>0</v>
      </c>
      <c r="D27" s="348">
        <v>0</v>
      </c>
      <c r="E27" s="338">
        <f>SUMIF('Unos prihoda i primitaka'!$C$3:$C$501,$A27,'Unos prihoda i primitaka'!G$3:G$501)</f>
        <v>0</v>
      </c>
      <c r="F27" s="338">
        <f>SUMIF('Unos prihoda i primitaka'!$C$3:$C$501,$A27,'Unos prihoda i primitaka'!H$3:H$501)</f>
        <v>0</v>
      </c>
      <c r="G27" s="338">
        <f>SUMIF('Unos prihoda i primitaka'!$C$3:$C$501,$A27,'Unos prihoda i primitaka'!I$3:I$501)</f>
        <v>0</v>
      </c>
      <c r="H27" s="315" t="str">
        <f>'OPĆI DIO'!$C$1</f>
        <v>48267 SVEUČILIŠTE SJEVER</v>
      </c>
    </row>
    <row r="28" spans="1:8" s="346" customFormat="1" ht="33.75" customHeight="1">
      <c r="A28" s="365">
        <v>7</v>
      </c>
      <c r="B28" s="359" t="s">
        <v>4806</v>
      </c>
      <c r="C28" s="309">
        <f>+C29</f>
        <v>780.41</v>
      </c>
      <c r="D28" s="309">
        <f t="shared" ref="D28:G28" si="4">+D29</f>
        <v>2654</v>
      </c>
      <c r="E28" s="309">
        <f>+E29</f>
        <v>2654</v>
      </c>
      <c r="F28" s="309">
        <f t="shared" si="4"/>
        <v>2654</v>
      </c>
      <c r="G28" s="309">
        <f t="shared" si="4"/>
        <v>2654</v>
      </c>
      <c r="H28" s="315" t="str">
        <f>'OPĆI DIO'!$C$1</f>
        <v>48267 SVEUČILIŠTE SJEVER</v>
      </c>
    </row>
    <row r="29" spans="1:8" ht="30">
      <c r="A29" s="363">
        <v>71</v>
      </c>
      <c r="B29" s="362" t="s">
        <v>4807</v>
      </c>
      <c r="C29" s="348">
        <v>780.41</v>
      </c>
      <c r="D29" s="348">
        <f>1327+1327</f>
        <v>2654</v>
      </c>
      <c r="E29" s="338">
        <f>SUMIF('Unos prihoda i primitaka'!$C$3:$C$501,$A29,'Unos prihoda i primitaka'!G$3:G$501)</f>
        <v>2654</v>
      </c>
      <c r="F29" s="338">
        <f>SUMIF('Unos prihoda i primitaka'!$C$3:$C$501,$A29,'Unos prihoda i primitaka'!H$3:H$501)</f>
        <v>2654</v>
      </c>
      <c r="G29" s="338">
        <f>SUMIF('Unos prihoda i primitaka'!$C$3:$C$501,$A29,'Unos prihoda i primitaka'!I$3:I$501)</f>
        <v>2654</v>
      </c>
      <c r="H29" s="315" t="str">
        <f>'OPĆI DIO'!$C$1</f>
        <v>48267 SVEUČILIŠTE SJEVER</v>
      </c>
    </row>
    <row r="30" spans="1:8" ht="24" customHeight="1">
      <c r="A30" s="363">
        <v>0</v>
      </c>
      <c r="B30" s="358" t="s">
        <v>251</v>
      </c>
      <c r="C30" s="310">
        <f>+C31+C34+C36+C39+C50+C53</f>
        <v>10663167</v>
      </c>
      <c r="D30" s="310">
        <f>+D31+D34+D36+D39+D50+D53</f>
        <v>16224539</v>
      </c>
      <c r="E30" s="310">
        <f>+E31+E34+E36+E39+E50+E53</f>
        <v>18424789</v>
      </c>
      <c r="F30" s="310">
        <f>+F31+F34+F36+F39+F50+F53</f>
        <v>11873117</v>
      </c>
      <c r="G30" s="310">
        <f>+G31+G34+G36+G39+G50+G53</f>
        <v>11589927</v>
      </c>
      <c r="H30" s="315" t="str">
        <f>'OPĆI DIO'!$C$1</f>
        <v>48267 SVEUČILIŠTE SJEVER</v>
      </c>
    </row>
    <row r="31" spans="1:8" s="346" customFormat="1">
      <c r="A31" s="365">
        <v>1</v>
      </c>
      <c r="B31" s="359" t="s">
        <v>4787</v>
      </c>
      <c r="C31" s="309">
        <f>+C32+C33</f>
        <v>7055869</v>
      </c>
      <c r="D31" s="309">
        <f t="shared" ref="D31" si="5">+D32+D33</f>
        <v>7978397</v>
      </c>
      <c r="E31" s="309">
        <f t="shared" ref="E31" si="6">+E32+E33</f>
        <v>10619092</v>
      </c>
      <c r="F31" s="309">
        <f t="shared" ref="F31" si="7">+F32+F33</f>
        <v>8145851</v>
      </c>
      <c r="G31" s="309">
        <f t="shared" ref="G31" si="8">+G32+G33</f>
        <v>8149526</v>
      </c>
      <c r="H31" s="315" t="str">
        <f>'OPĆI DIO'!$C$1</f>
        <v>48267 SVEUČILIŠTE SJEVER</v>
      </c>
    </row>
    <row r="32" spans="1:8">
      <c r="A32" s="363">
        <v>11</v>
      </c>
      <c r="B32" s="360" t="s">
        <v>4788</v>
      </c>
      <c r="C32" s="348">
        <f>5712706+13140+1330023</f>
        <v>7055869</v>
      </c>
      <c r="D32" s="348">
        <f>6691699+13272+1248288+25138</f>
        <v>7978397</v>
      </c>
      <c r="E32" s="340">
        <f>SUMIF('Unos rashoda i izdataka'!$Q$3:$Q$501,$A32,'Unos rashoda i izdataka'!J$3:J$501)+SUMIF('Unos rashoda P4'!$A$3:$A$501,$A32,'Unos rashoda P4'!H$3:H$501)</f>
        <v>10619092</v>
      </c>
      <c r="F32" s="340">
        <f>SUMIF('Unos rashoda i izdataka'!$Q$3:$Q$501,$A32,'Unos rashoda i izdataka'!K$3:K$501)+SUMIF('Unos rashoda P4'!$A$3:$A$501,$A32,'Unos rashoda P4'!I$3:I$501)</f>
        <v>8145851</v>
      </c>
      <c r="G32" s="340">
        <f>SUMIF('Unos rashoda i izdataka'!$Q$3:$Q$501,$A32,'Unos rashoda i izdataka'!L$3:L$501)+SUMIF('Unos rashoda P4'!$A$3:$A$501,$A32,'Unos rashoda P4'!J$3:J$501)</f>
        <v>8149526</v>
      </c>
      <c r="H32" s="315" t="str">
        <f>'OPĆI DIO'!$C$1</f>
        <v>48267 SVEUČILIŠTE SJEVER</v>
      </c>
    </row>
    <row r="33" spans="1:8">
      <c r="A33" s="363">
        <v>12</v>
      </c>
      <c r="B33" s="361" t="s">
        <v>4789</v>
      </c>
      <c r="C33" s="348">
        <v>0</v>
      </c>
      <c r="D33" s="348">
        <v>0</v>
      </c>
      <c r="E33" s="340">
        <f>SUMIF('Unos rashoda i izdataka'!$Q$3:$Q$501,$A33,'Unos rashoda i izdataka'!J$3:J$501)+SUMIF('Unos rashoda P4'!$A$3:$A$501,$A33,'Unos rashoda P4'!H$3:H$501)</f>
        <v>0</v>
      </c>
      <c r="F33" s="340">
        <f>SUMIF('Unos rashoda i izdataka'!$Q$3:$Q$501,$A33,'Unos rashoda i izdataka'!K$3:K$501)+SUMIF('Unos rashoda P4'!$A$3:$A$501,$A33,'Unos rashoda P4'!I$3:I$501)</f>
        <v>0</v>
      </c>
      <c r="G33" s="340">
        <f>SUMIF('Unos rashoda i izdataka'!$Q$3:$Q$501,$A33,'Unos rashoda i izdataka'!L$3:L$501)+SUMIF('Unos rashoda P4'!$A$3:$A$501,$A33,'Unos rashoda P4'!J$3:J$501)</f>
        <v>0</v>
      </c>
      <c r="H33" s="315" t="str">
        <f>'OPĆI DIO'!$C$1</f>
        <v>48267 SVEUČILIŠTE SJEVER</v>
      </c>
    </row>
    <row r="34" spans="1:8" s="346" customFormat="1">
      <c r="A34" s="365">
        <v>3</v>
      </c>
      <c r="B34" s="359" t="s">
        <v>4790</v>
      </c>
      <c r="C34" s="309">
        <f>+C35</f>
        <v>236443</v>
      </c>
      <c r="D34" s="309">
        <f t="shared" ref="D34:G34" si="9">+D35</f>
        <v>192116</v>
      </c>
      <c r="E34" s="309">
        <f t="shared" si="9"/>
        <v>396475</v>
      </c>
      <c r="F34" s="309">
        <f t="shared" si="9"/>
        <v>377231</v>
      </c>
      <c r="G34" s="309">
        <f t="shared" si="9"/>
        <v>389194</v>
      </c>
      <c r="H34" s="315" t="str">
        <f>'OPĆI DIO'!$C$1</f>
        <v>48267 SVEUČILIŠTE SJEVER</v>
      </c>
    </row>
    <row r="35" spans="1:8">
      <c r="A35" s="366">
        <v>31</v>
      </c>
      <c r="B35" s="362" t="s">
        <v>4791</v>
      </c>
      <c r="C35" s="348">
        <v>236443</v>
      </c>
      <c r="D35" s="348">
        <v>192116</v>
      </c>
      <c r="E35" s="340">
        <f>SUMIF('Unos rashoda i izdataka'!$Q$3:$Q$501,$A35,'Unos rashoda i izdataka'!J$3:J$501)+SUMIF('Unos rashoda P4'!$A$3:$A$501,$A35,'Unos rashoda P4'!H$3:H$501)-'B.2 RAČUN FINANC IF'!E13</f>
        <v>396475</v>
      </c>
      <c r="F35" s="340">
        <f>SUMIF('Unos rashoda i izdataka'!$Q$3:$Q$501,$A35,'Unos rashoda i izdataka'!K$3:K$501)+SUMIF('Unos rashoda P4'!$A$3:$A$501,$A35,'Unos rashoda P4'!I$3:I$501)-'B.2 RAČUN FINANC IF'!F13</f>
        <v>377231</v>
      </c>
      <c r="G35" s="340">
        <f>SUMIF('Unos rashoda i izdataka'!$Q$3:$Q$501,$A35,'Unos rashoda i izdataka'!L$3:L$501)+SUMIF('Unos rashoda P4'!$A$3:$A$501,$A35,'Unos rashoda P4'!J$3:J$501)-'B.2 RAČUN FINANC IF'!G13</f>
        <v>389194</v>
      </c>
      <c r="H35" s="315" t="str">
        <f>'OPĆI DIO'!$C$1</f>
        <v>48267 SVEUČILIŠTE SJEVER</v>
      </c>
    </row>
    <row r="36" spans="1:8" s="346" customFormat="1">
      <c r="A36" s="365">
        <v>4</v>
      </c>
      <c r="B36" s="359" t="s">
        <v>4792</v>
      </c>
      <c r="C36" s="309">
        <f>+C37+C38</f>
        <v>2976001</v>
      </c>
      <c r="D36" s="309">
        <f t="shared" ref="D36:G36" si="10">+D37+D38</f>
        <v>7028919</v>
      </c>
      <c r="E36" s="309">
        <f>+E37+E38</f>
        <v>7051774</v>
      </c>
      <c r="F36" s="309">
        <f t="shared" si="10"/>
        <v>3011530</v>
      </c>
      <c r="G36" s="309">
        <f t="shared" si="10"/>
        <v>2899600</v>
      </c>
      <c r="H36" s="315" t="str">
        <f>'OPĆI DIO'!$C$1</f>
        <v>48267 SVEUČILIŠTE SJEVER</v>
      </c>
    </row>
    <row r="37" spans="1:8">
      <c r="A37" s="363">
        <v>41</v>
      </c>
      <c r="B37" s="362" t="s">
        <v>4793</v>
      </c>
      <c r="C37" s="348">
        <v>0</v>
      </c>
      <c r="D37" s="348">
        <v>0</v>
      </c>
      <c r="E37" s="340">
        <f>SUMIF('Unos rashoda i izdataka'!$Q$3:$Q$501,$A37,'Unos rashoda i izdataka'!J$3:J$501)+SUMIF('Unos rashoda P4'!$A$3:$A$501,$A37,'Unos rashoda P4'!H$3:H$501)</f>
        <v>0</v>
      </c>
      <c r="F37" s="340">
        <f>SUMIF('Unos rashoda i izdataka'!$Q$3:$Q$501,$A37,'Unos rashoda i izdataka'!K$3:K$501)+SUMIF('Unos rashoda P4'!$A$3:$A$501,$A37,'Unos rashoda P4'!I$3:I$501)</f>
        <v>0</v>
      </c>
      <c r="G37" s="340">
        <f>SUMIF('Unos rashoda i izdataka'!$Q$3:$Q$501,$A37,'Unos rashoda i izdataka'!L$3:L$501)+SUMIF('Unos rashoda P4'!$A$3:$A$501,$A37,'Unos rashoda P4'!J$3:J$501)</f>
        <v>0</v>
      </c>
      <c r="H37" s="315" t="str">
        <f>'OPĆI DIO'!$C$1</f>
        <v>48267 SVEUČILIŠTE SJEVER</v>
      </c>
    </row>
    <row r="38" spans="1:8">
      <c r="A38" s="363">
        <v>43</v>
      </c>
      <c r="B38" s="362" t="s">
        <v>4794</v>
      </c>
      <c r="C38" s="348">
        <v>2976001</v>
      </c>
      <c r="D38" s="348">
        <f>109496+6919423</f>
        <v>7028919</v>
      </c>
      <c r="E38" s="340">
        <f>SUMIF('Unos rashoda i izdataka'!$Q$3:$Q$501,$A38,'Unos rashoda i izdataka'!J$3:J$501)+SUMIF('Unos rashoda P4'!$A$3:$A$501,$A38,'Unos rashoda P4'!H$3:H$501)</f>
        <v>7051774</v>
      </c>
      <c r="F38" s="340">
        <f>SUMIF('Unos rashoda i izdataka'!$Q$3:$Q$501,$A38,'Unos rashoda i izdataka'!K$3:K$501)+SUMIF('Unos rashoda P4'!$A$3:$A$501,$A38,'Unos rashoda P4'!I$3:I$501)</f>
        <v>3011530</v>
      </c>
      <c r="G38" s="340">
        <f>SUMIF('Unos rashoda i izdataka'!$Q$3:$Q$501,$A38,'Unos rashoda i izdataka'!L$3:L$501)+SUMIF('Unos rashoda P4'!$A$3:$A$501,$A38,'Unos rashoda P4'!J$3:J$501)</f>
        <v>2899600</v>
      </c>
      <c r="H38" s="315" t="str">
        <f>'OPĆI DIO'!$C$1</f>
        <v>48267 SVEUČILIŠTE SJEVER</v>
      </c>
    </row>
    <row r="39" spans="1:8" s="346" customFormat="1">
      <c r="A39" s="365">
        <v>5</v>
      </c>
      <c r="B39" s="359" t="s">
        <v>4795</v>
      </c>
      <c r="C39" s="309">
        <f>SUM(C40:C49)</f>
        <v>380805</v>
      </c>
      <c r="D39" s="309">
        <f>SUM(D40:D49)</f>
        <v>397025</v>
      </c>
      <c r="E39" s="309">
        <f>SUM(E40:E49)</f>
        <v>322794</v>
      </c>
      <c r="F39" s="309">
        <f>SUM(F40:F49)</f>
        <v>292851</v>
      </c>
      <c r="G39" s="309">
        <f>SUM(G40:G49)</f>
        <v>95953</v>
      </c>
      <c r="H39" s="315" t="str">
        <f>'OPĆI DIO'!$C$1</f>
        <v>48267 SVEUČILIŠTE SJEVER</v>
      </c>
    </row>
    <row r="40" spans="1:8">
      <c r="A40" s="363">
        <v>51</v>
      </c>
      <c r="B40" s="362" t="s">
        <v>4796</v>
      </c>
      <c r="C40" s="348">
        <v>38404</v>
      </c>
      <c r="D40" s="348">
        <v>10000</v>
      </c>
      <c r="E40" s="340">
        <f>SUMIF('Unos rashoda i izdataka'!$Q$3:$Q$501,$A40,'Unos rashoda i izdataka'!J$3:J$501)+SUMIF('Unos rashoda P4'!$A$3:$A$501,$A40,'Unos rashoda P4'!H$3:H$501)</f>
        <v>41120</v>
      </c>
      <c r="F40" s="340">
        <f>SUMIF('Unos rashoda i izdataka'!$Q$3:$Q$501,$A40,'Unos rashoda i izdataka'!K$3:K$501)+SUMIF('Unos rashoda P4'!$A$3:$A$501,$A40,'Unos rashoda P4'!I$3:I$501)</f>
        <v>27620</v>
      </c>
      <c r="G40" s="340">
        <f>SUMIF('Unos rashoda i izdataka'!$Q$3:$Q$501,$A40,'Unos rashoda i izdataka'!L$3:L$501)+SUMIF('Unos rashoda P4'!$A$3:$A$501,$A40,'Unos rashoda P4'!J$3:J$501)</f>
        <v>0</v>
      </c>
      <c r="H40" s="315" t="str">
        <f>'OPĆI DIO'!$C$1</f>
        <v>48267 SVEUČILIŠTE SJEVER</v>
      </c>
    </row>
    <row r="41" spans="1:8">
      <c r="A41" s="363">
        <v>52</v>
      </c>
      <c r="B41" s="362" t="s">
        <v>4797</v>
      </c>
      <c r="C41" s="348">
        <f>259266+83135</f>
        <v>342401</v>
      </c>
      <c r="D41" s="348">
        <f>333471+53554</f>
        <v>387025</v>
      </c>
      <c r="E41" s="340">
        <f>SUMIF('Unos rashoda i izdataka'!$Q$3:$Q$501,$A41,'Unos rashoda i izdataka'!J$3:J$501)+SUMIF('Unos rashoda P4'!$A$3:$A$501,$A41,'Unos rashoda P4'!H$3:H$501)</f>
        <v>281674</v>
      </c>
      <c r="F41" s="340">
        <f>SUMIF('Unos rashoda i izdataka'!$Q$3:$Q$501,$A41,'Unos rashoda i izdataka'!K$3:K$501)+SUMIF('Unos rashoda P4'!$A$3:$A$501,$A41,'Unos rashoda P4'!I$3:I$501)</f>
        <v>265231</v>
      </c>
      <c r="G41" s="340">
        <f>SUMIF('Unos rashoda i izdataka'!$Q$3:$Q$501,$A41,'Unos rashoda i izdataka'!L$3:L$501)+SUMIF('Unos rashoda P4'!$A$3:$A$501,$A41,'Unos rashoda P4'!J$3:J$501)</f>
        <v>95953</v>
      </c>
      <c r="H41" s="315" t="str">
        <f>'OPĆI DIO'!$C$1</f>
        <v>48267 SVEUČILIŠTE SJEVER</v>
      </c>
    </row>
    <row r="42" spans="1:8">
      <c r="A42" s="363">
        <v>552</v>
      </c>
      <c r="B42" s="362" t="s">
        <v>4798</v>
      </c>
      <c r="C42" s="348">
        <v>0</v>
      </c>
      <c r="D42" s="348">
        <v>0</v>
      </c>
      <c r="E42" s="340">
        <f>SUMIF('Unos rashoda i izdataka'!$Q$3:$Q$501,$A42,'Unos rashoda i izdataka'!J$3:J$501)+SUMIF('Unos rashoda P4'!$A$3:$A$501,$A42,'Unos rashoda P4'!H$3:H$501)</f>
        <v>0</v>
      </c>
      <c r="F42" s="340">
        <f>SUMIF('Unos rashoda i izdataka'!$Q$3:$Q$501,$A42,'Unos rashoda i izdataka'!K$3:K$501)+SUMIF('Unos rashoda P4'!$A$3:$A$501,$A42,'Unos rashoda P4'!I$3:I$501)</f>
        <v>0</v>
      </c>
      <c r="G42" s="340">
        <f>SUMIF('Unos rashoda i izdataka'!$Q$3:$Q$501,$A42,'Unos rashoda i izdataka'!L$3:L$501)+SUMIF('Unos rashoda P4'!$A$3:$A$501,$A42,'Unos rashoda P4'!J$3:J$501)</f>
        <v>0</v>
      </c>
      <c r="H42" s="315" t="str">
        <f>'OPĆI DIO'!$C$1</f>
        <v>48267 SVEUČILIŠTE SJEVER</v>
      </c>
    </row>
    <row r="43" spans="1:8">
      <c r="A43" s="363">
        <v>559</v>
      </c>
      <c r="B43" s="362" t="s">
        <v>4799</v>
      </c>
      <c r="C43" s="348">
        <v>0</v>
      </c>
      <c r="D43" s="348">
        <v>0</v>
      </c>
      <c r="E43" s="340">
        <f>SUMIF('Unos rashoda i izdataka'!$Q$3:$Q$501,$A43,'Unos rashoda i izdataka'!J$3:J$501)+SUMIF('Unos rashoda P4'!$A$3:$A$501,$A43,'Unos rashoda P4'!H$3:H$501)</f>
        <v>0</v>
      </c>
      <c r="F43" s="340">
        <f>SUMIF('Unos rashoda i izdataka'!$Q$3:$Q$501,$A43,'Unos rashoda i izdataka'!K$3:K$501)+SUMIF('Unos rashoda P4'!$A$3:$A$501,$A43,'Unos rashoda P4'!I$3:I$501)</f>
        <v>0</v>
      </c>
      <c r="G43" s="340">
        <f>SUMIF('Unos rashoda i izdataka'!$Q$3:$Q$501,$A43,'Unos rashoda i izdataka'!L$3:L$501)+SUMIF('Unos rashoda P4'!$A$3:$A$501,$A43,'Unos rashoda P4'!J$3:J$501)</f>
        <v>0</v>
      </c>
      <c r="H43" s="315" t="str">
        <f>'OPĆI DIO'!$C$1</f>
        <v>48267 SVEUČILIŠTE SJEVER</v>
      </c>
    </row>
    <row r="44" spans="1:8">
      <c r="A44" s="363">
        <v>561</v>
      </c>
      <c r="B44" s="362" t="s">
        <v>4800</v>
      </c>
      <c r="C44" s="348">
        <v>0</v>
      </c>
      <c r="D44" s="348">
        <v>0</v>
      </c>
      <c r="E44" s="340">
        <f>SUMIF('Unos rashoda i izdataka'!$Q$3:$Q$501,$A44,'Unos rashoda i izdataka'!J$3:J$501)+SUMIF('Unos rashoda P4'!$A$3:$A$501,$A44,'Unos rashoda P4'!H$3:H$501)</f>
        <v>0</v>
      </c>
      <c r="F44" s="340">
        <f>SUMIF('Unos rashoda i izdataka'!$Q$3:$Q$501,$A44,'Unos rashoda i izdataka'!K$3:K$501)+SUMIF('Unos rashoda P4'!$A$3:$A$501,$A44,'Unos rashoda P4'!I$3:I$501)</f>
        <v>0</v>
      </c>
      <c r="G44" s="340">
        <f>SUMIF('Unos rashoda i izdataka'!$Q$3:$Q$501,$A44,'Unos rashoda i izdataka'!L$3:L$501)+SUMIF('Unos rashoda P4'!$A$3:$A$501,$A44,'Unos rashoda P4'!J$3:J$501)</f>
        <v>0</v>
      </c>
      <c r="H44" s="315" t="str">
        <f>'OPĆI DIO'!$C$1</f>
        <v>48267 SVEUČILIŠTE SJEVER</v>
      </c>
    </row>
    <row r="45" spans="1:8" ht="20.25" customHeight="1">
      <c r="A45" s="363">
        <v>563</v>
      </c>
      <c r="B45" s="362" t="s">
        <v>4801</v>
      </c>
      <c r="C45" s="348">
        <v>0</v>
      </c>
      <c r="D45" s="348">
        <v>0</v>
      </c>
      <c r="E45" s="340">
        <f>SUMIF('Unos rashoda i izdataka'!$Q$3:$Q$501,$A45,'Unos rashoda i izdataka'!J$3:J$501)+SUMIF('Unos rashoda P4'!$A$3:$A$501,$A45,'Unos rashoda P4'!H$3:H$501)</f>
        <v>0</v>
      </c>
      <c r="F45" s="340">
        <f>SUMIF('Unos rashoda i izdataka'!$Q$3:$Q$501,$A45,'Unos rashoda i izdataka'!K$3:K$501)+SUMIF('Unos rashoda P4'!$A$3:$A$501,$A45,'Unos rashoda P4'!I$3:I$501)</f>
        <v>0</v>
      </c>
      <c r="G45" s="340">
        <f>SUMIF('Unos rashoda i izdataka'!$Q$3:$Q$501,$A45,'Unos rashoda i izdataka'!L$3:L$501)+SUMIF('Unos rashoda P4'!$A$3:$A$501,$A45,'Unos rashoda P4'!J$3:J$501)</f>
        <v>0</v>
      </c>
      <c r="H45" s="315" t="str">
        <f>'OPĆI DIO'!$C$1</f>
        <v>48267 SVEUČILIŠTE SJEVER</v>
      </c>
    </row>
    <row r="46" spans="1:8" ht="30">
      <c r="A46" s="363">
        <v>573</v>
      </c>
      <c r="B46" s="362" t="s">
        <v>1020</v>
      </c>
      <c r="C46" s="348">
        <v>0</v>
      </c>
      <c r="D46" s="348">
        <v>0</v>
      </c>
      <c r="E46" s="340">
        <f>SUMIF('Unos rashoda i izdataka'!$Q$3:$Q$501,$A46,'Unos rashoda i izdataka'!J$3:J$501)+SUMIF('Unos rashoda P4'!$A$3:$A$501,$A46,'Unos rashoda P4'!H$3:H$501)</f>
        <v>0</v>
      </c>
      <c r="F46" s="340">
        <f>SUMIF('Unos rashoda i izdataka'!$Q$3:$Q$501,$A46,'Unos rashoda i izdataka'!K$3:K$501)+SUMIF('Unos rashoda P4'!$A$3:$A$501,$A46,'Unos rashoda P4'!I$3:I$501)</f>
        <v>0</v>
      </c>
      <c r="G46" s="340">
        <f>SUMIF('Unos rashoda i izdataka'!$Q$3:$Q$501,$A46,'Unos rashoda i izdataka'!L$3:L$501)+SUMIF('Unos rashoda P4'!$A$3:$A$501,$A46,'Unos rashoda P4'!J$3:J$501)</f>
        <v>0</v>
      </c>
      <c r="H46" s="315" t="str">
        <f>'OPĆI DIO'!$C$1</f>
        <v>48267 SVEUČILIŠTE SJEVER</v>
      </c>
    </row>
    <row r="47" spans="1:8">
      <c r="A47" s="363">
        <v>575</v>
      </c>
      <c r="B47" s="362" t="s">
        <v>1021</v>
      </c>
      <c r="C47" s="348">
        <v>0</v>
      </c>
      <c r="D47" s="348">
        <v>0</v>
      </c>
      <c r="E47" s="340">
        <f>SUMIF('Unos rashoda i izdataka'!$Q$3:$Q$501,$A47,'Unos rashoda i izdataka'!J$3:J$501)+SUMIF('Unos rashoda P4'!$A$3:$A$501,$A47,'Unos rashoda P4'!H$3:H$501)</f>
        <v>0</v>
      </c>
      <c r="F47" s="340">
        <f>SUMIF('Unos rashoda i izdataka'!$Q$3:$Q$501,$A47,'Unos rashoda i izdataka'!K$3:K$501)+SUMIF('Unos rashoda P4'!$A$3:$A$501,$A47,'Unos rashoda P4'!I$3:I$501)</f>
        <v>0</v>
      </c>
      <c r="G47" s="340">
        <f>SUMIF('Unos rashoda i izdataka'!$Q$3:$Q$501,$A47,'Unos rashoda i izdataka'!L$3:L$501)+SUMIF('Unos rashoda P4'!$A$3:$A$501,$A47,'Unos rashoda P4'!J$3:J$501)</f>
        <v>0</v>
      </c>
      <c r="H47" s="315" t="str">
        <f>'OPĆI DIO'!$C$1</f>
        <v>48267 SVEUČILIŠTE SJEVER</v>
      </c>
    </row>
    <row r="48" spans="1:8" ht="30">
      <c r="A48" s="367">
        <v>576</v>
      </c>
      <c r="B48" s="362" t="s">
        <v>4819</v>
      </c>
      <c r="C48" s="348">
        <v>0</v>
      </c>
      <c r="D48" s="348">
        <v>0</v>
      </c>
      <c r="E48" s="340">
        <f>SUMIF('Unos rashoda i izdataka'!$Q$3:$Q$501,$A48,'Unos rashoda i izdataka'!J$3:J$501)+SUMIF('Unos rashoda P4'!$A$3:$A$501,$A48,'Unos rashoda P4'!H$3:H$501)</f>
        <v>0</v>
      </c>
      <c r="F48" s="340">
        <f>SUMIF('Unos rashoda i izdataka'!$Q$3:$Q$501,$A48,'Unos rashoda i izdataka'!K$3:K$501)+SUMIF('Unos rashoda P4'!$A$3:$A$501,$A48,'Unos rashoda P4'!I$3:I$501)</f>
        <v>0</v>
      </c>
      <c r="G48" s="340">
        <f>SUMIF('Unos rashoda i izdataka'!$Q$3:$Q$501,$A48,'Unos rashoda i izdataka'!L$3:L$501)+SUMIF('Unos rashoda P4'!$A$3:$A$501,$A48,'Unos rashoda P4'!J$3:J$501)</f>
        <v>0</v>
      </c>
      <c r="H48" s="315" t="str">
        <f>'OPĆI DIO'!$C$1</f>
        <v>48267 SVEUČILIŠTE SJEVER</v>
      </c>
    </row>
    <row r="49" spans="1:8">
      <c r="A49" s="363">
        <v>581</v>
      </c>
      <c r="B49" s="362" t="s">
        <v>4802</v>
      </c>
      <c r="C49" s="348">
        <v>0</v>
      </c>
      <c r="D49" s="348">
        <v>0</v>
      </c>
      <c r="E49" s="340">
        <f>SUMIF('Unos rashoda i izdataka'!$Q$3:$Q$501,$A49,'Unos rashoda i izdataka'!J$3:J$501)+SUMIF('Unos rashoda P4'!$A$3:$A$501,$A49,'Unos rashoda P4'!H$3:H$501)</f>
        <v>0</v>
      </c>
      <c r="F49" s="340">
        <f>SUMIF('Unos rashoda i izdataka'!$Q$3:$Q$501,$A49,'Unos rashoda i izdataka'!K$3:K$501)+SUMIF('Unos rashoda P4'!$A$3:$A$501,$A49,'Unos rashoda P4'!I$3:I$501)</f>
        <v>0</v>
      </c>
      <c r="G49" s="340">
        <f>SUMIF('Unos rashoda i izdataka'!$Q$3:$Q$501,$A49,'Unos rashoda i izdataka'!L$3:L$501)+SUMIF('Unos rashoda P4'!$A$3:$A$501,$A49,'Unos rashoda P4'!J$3:J$501)</f>
        <v>0</v>
      </c>
      <c r="H49" s="315" t="str">
        <f>'OPĆI DIO'!$C$1</f>
        <v>48267 SVEUČILIŠTE SJEVER</v>
      </c>
    </row>
    <row r="50" spans="1:8" s="346" customFormat="1">
      <c r="A50" s="365">
        <v>6</v>
      </c>
      <c r="B50" s="359" t="s">
        <v>4803</v>
      </c>
      <c r="C50" s="309">
        <f>+C51+C52</f>
        <v>13269</v>
      </c>
      <c r="D50" s="309">
        <f t="shared" ref="D50:G50" si="11">+D51+D52</f>
        <v>625428</v>
      </c>
      <c r="E50" s="309">
        <f t="shared" si="11"/>
        <v>32000</v>
      </c>
      <c r="F50" s="309">
        <f t="shared" si="11"/>
        <v>43000</v>
      </c>
      <c r="G50" s="309">
        <f t="shared" si="11"/>
        <v>53000</v>
      </c>
      <c r="H50" s="315" t="str">
        <f>'OPĆI DIO'!$C$1</f>
        <v>48267 SVEUČILIŠTE SJEVER</v>
      </c>
    </row>
    <row r="51" spans="1:8">
      <c r="A51" s="363">
        <v>61</v>
      </c>
      <c r="B51" s="362" t="s">
        <v>4804</v>
      </c>
      <c r="C51" s="348">
        <f>410+12859</f>
        <v>13269</v>
      </c>
      <c r="D51" s="348">
        <f>624101+1327</f>
        <v>625428</v>
      </c>
      <c r="E51" s="340">
        <f>SUMIF('Unos rashoda i izdataka'!$Q$3:$Q$501,$A51,'Unos rashoda i izdataka'!J$3:J$501)+SUMIF('Unos rashoda P4'!$A$3:$A$501,$A51,'Unos rashoda P4'!H$3:H$501)</f>
        <v>32000</v>
      </c>
      <c r="F51" s="340">
        <f>SUMIF('Unos rashoda i izdataka'!$Q$3:$Q$501,$A51,'Unos rashoda i izdataka'!K$3:K$501)+SUMIF('Unos rashoda P4'!$A$3:$A$501,$A51,'Unos rashoda P4'!I$3:I$501)</f>
        <v>43000</v>
      </c>
      <c r="G51" s="340">
        <f>SUMIF('Unos rashoda i izdataka'!$Q$3:$Q$501,$A51,'Unos rashoda i izdataka'!L$3:L$501)+SUMIF('Unos rashoda P4'!$A$3:$A$501,$A51,'Unos rashoda P4'!J$3:J$501)</f>
        <v>53000</v>
      </c>
      <c r="H51" s="315" t="str">
        <f>'OPĆI DIO'!$C$1</f>
        <v>48267 SVEUČILIŠTE SJEVER</v>
      </c>
    </row>
    <row r="52" spans="1:8">
      <c r="A52" s="363">
        <v>63</v>
      </c>
      <c r="B52" s="362" t="s">
        <v>4805</v>
      </c>
      <c r="C52" s="348">
        <v>0</v>
      </c>
      <c r="D52" s="348">
        <v>0</v>
      </c>
      <c r="E52" s="340">
        <f>SUMIF('Unos rashoda i izdataka'!$Q$3:$Q$501,$A52,'Unos rashoda i izdataka'!J$3:J$501)+SUMIF('Unos rashoda P4'!$A$3:$A$501,$A52,'Unos rashoda P4'!H$3:H$501)</f>
        <v>0</v>
      </c>
      <c r="F52" s="340">
        <f>SUMIF('Unos rashoda i izdataka'!$Q$3:$Q$501,$A52,'Unos rashoda i izdataka'!K$3:K$501)+SUMIF('Unos rashoda P4'!$A$3:$A$501,$A52,'Unos rashoda P4'!I$3:I$501)</f>
        <v>0</v>
      </c>
      <c r="G52" s="340">
        <f>SUMIF('Unos rashoda i izdataka'!$Q$3:$Q$501,$A52,'Unos rashoda i izdataka'!L$3:L$501)+SUMIF('Unos rashoda P4'!$A$3:$A$501,$A52,'Unos rashoda P4'!J$3:J$501)</f>
        <v>0</v>
      </c>
      <c r="H52" s="315" t="str">
        <f>'OPĆI DIO'!$C$1</f>
        <v>48267 SVEUČILIŠTE SJEVER</v>
      </c>
    </row>
    <row r="53" spans="1:8" s="346" customFormat="1" ht="27.75" customHeight="1">
      <c r="A53" s="365">
        <v>7</v>
      </c>
      <c r="B53" s="359" t="s">
        <v>4806</v>
      </c>
      <c r="C53" s="309">
        <f>+C54</f>
        <v>780</v>
      </c>
      <c r="D53" s="309">
        <f t="shared" ref="D53:G53" si="12">+D54</f>
        <v>2654</v>
      </c>
      <c r="E53" s="309">
        <f t="shared" si="12"/>
        <v>2654</v>
      </c>
      <c r="F53" s="309">
        <f t="shared" si="12"/>
        <v>2654</v>
      </c>
      <c r="G53" s="309">
        <f t="shared" si="12"/>
        <v>2654</v>
      </c>
      <c r="H53" s="315" t="str">
        <f>'OPĆI DIO'!$C$1</f>
        <v>48267 SVEUČILIŠTE SJEVER</v>
      </c>
    </row>
    <row r="54" spans="1:8" ht="30">
      <c r="A54" s="363">
        <v>71</v>
      </c>
      <c r="B54" s="362" t="s">
        <v>4807</v>
      </c>
      <c r="C54" s="348">
        <v>780</v>
      </c>
      <c r="D54" s="348">
        <v>2654</v>
      </c>
      <c r="E54" s="340">
        <f>SUMIF('Unos rashoda i izdataka'!$Q$3:$Q$501,$A54,'Unos rashoda i izdataka'!J$3:J$501)+SUMIF('Unos rashoda P4'!$A$3:$A$501,$A54,'Unos rashoda P4'!H$3:H$501)</f>
        <v>2654</v>
      </c>
      <c r="F54" s="340">
        <f>SUMIF('Unos rashoda i izdataka'!$Q$3:$Q$501,$A54,'Unos rashoda i izdataka'!K$3:K$501)+SUMIF('Unos rashoda P4'!$A$3:$A$501,$A54,'Unos rashoda P4'!I$3:I$501)</f>
        <v>2654</v>
      </c>
      <c r="G54" s="340">
        <f>SUMIF('Unos rashoda i izdataka'!$Q$3:$Q$501,$A54,'Unos rashoda i izdataka'!L$3:L$501)+SUMIF('Unos rashoda P4'!$A$3:$A$501,$A54,'Unos rashoda P4'!J$3:J$501)</f>
        <v>2654</v>
      </c>
      <c r="H54" s="315" t="str">
        <f>'OPĆI DIO'!$C$1</f>
        <v>48267 SVEUČILIŠTE SJEVER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32" activePane="bottomRight" state="frozen"/>
      <selection pane="topRight" activeCell="B1" sqref="B1"/>
      <selection pane="bottomLeft" activeCell="A4" sqref="A4"/>
      <selection pane="bottomRight" activeCell="G71" sqref="G71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88" t="s">
        <v>3911</v>
      </c>
      <c r="B1" s="388"/>
      <c r="C1" s="388"/>
      <c r="D1" s="388"/>
      <c r="E1" s="388"/>
      <c r="F1" s="388"/>
      <c r="G1" s="388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3" customFormat="1" ht="28.5" customHeight="1">
      <c r="A5" s="351"/>
      <c r="B5" s="351" t="s">
        <v>3912</v>
      </c>
      <c r="C5" s="352">
        <f t="shared" ref="C5:D5" si="0">+C6+C15+C21+C28+C38+C45+C52+C59+C66+C75</f>
        <v>10663167</v>
      </c>
      <c r="D5" s="352">
        <f t="shared" si="0"/>
        <v>16224539</v>
      </c>
      <c r="E5" s="352">
        <f>+E6+E15+E21+E28+E38+E45+E52+E59+E66+E75</f>
        <v>18424789</v>
      </c>
      <c r="F5" s="352">
        <f t="shared" ref="F5:G5" si="1">+F6+F15+F21+F28+F38+F45+F52+F59+F66+F75</f>
        <v>11873117</v>
      </c>
      <c r="G5" s="352">
        <f t="shared" si="1"/>
        <v>11589927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48267 SVEUČILIŠTE SJEVER</v>
      </c>
    </row>
    <row r="7" spans="1:192" ht="25.5">
      <c r="A7" s="225">
        <v>11</v>
      </c>
      <c r="B7" s="25" t="s">
        <v>3914</v>
      </c>
      <c r="C7" s="347"/>
      <c r="D7" s="347"/>
      <c r="E7" s="347">
        <f>SUMIF('Unos rashoda i izdataka'!$R$3:$R$501,'A.3 RASHODI FUNK'!$A7,'Unos rashoda i izdataka'!J$3:J$501)+SUMIF('Unos rashoda P4'!$T$3:$T$501,'A.3 RASHODI FUNK'!$A7,'Unos rashoda P4'!H$3:H$501)</f>
        <v>0</v>
      </c>
      <c r="F7" s="347">
        <f>SUMIF('Unos rashoda i izdataka'!$R$3:$R$501,'A.3 RASHODI FUNK'!$A7,'Unos rashoda i izdataka'!K$3:K$501)+SUMIF('Unos rashoda P4'!$T$3:$T$501,'A.3 RASHODI FUNK'!$A7,'Unos rashoda P4'!I$3:I$501)</f>
        <v>0</v>
      </c>
      <c r="G7" s="347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48267 SVEUČILIŠTE SJEVER</v>
      </c>
    </row>
    <row r="8" spans="1:192">
      <c r="A8" s="225">
        <v>12</v>
      </c>
      <c r="B8" s="25" t="s">
        <v>3915</v>
      </c>
      <c r="C8" s="347"/>
      <c r="D8" s="347"/>
      <c r="E8" s="347">
        <f>SUMIF('Unos rashoda i izdataka'!$R$3:$R$501,'A.3 RASHODI FUNK'!$A8,'Unos rashoda i izdataka'!J$3:J$501)+SUMIF('Unos rashoda P4'!$T$3:$T$501,'A.3 RASHODI FUNK'!$A8,'Unos rashoda P4'!H$3:H$501)</f>
        <v>0</v>
      </c>
      <c r="F8" s="347">
        <f>SUMIF('Unos rashoda i izdataka'!$R$3:$R$501,'A.3 RASHODI FUNK'!$A8,'Unos rashoda i izdataka'!K$3:K$501)+SUMIF('Unos rashoda P4'!$T$3:$T$501,'A.3 RASHODI FUNK'!$A8,'Unos rashoda P4'!I$3:I$501)</f>
        <v>0</v>
      </c>
      <c r="G8" s="347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48267 SVEUČILIŠTE SJEVER</v>
      </c>
    </row>
    <row r="9" spans="1:192">
      <c r="A9" s="225">
        <v>13</v>
      </c>
      <c r="B9" s="25" t="s">
        <v>3917</v>
      </c>
      <c r="C9" s="347"/>
      <c r="D9" s="347"/>
      <c r="E9" s="347">
        <f>SUMIF('Unos rashoda i izdataka'!$R$3:$R$501,'A.3 RASHODI FUNK'!$A9,'Unos rashoda i izdataka'!J$3:J$501)+SUMIF('Unos rashoda P4'!$T$3:$T$501,'A.3 RASHODI FUNK'!$A9,'Unos rashoda P4'!H$3:H$501)</f>
        <v>0</v>
      </c>
      <c r="F9" s="347">
        <f>SUMIF('Unos rashoda i izdataka'!$R$3:$R$501,'A.3 RASHODI FUNK'!$A9,'Unos rashoda i izdataka'!K$3:K$501)+SUMIF('Unos rashoda P4'!$T$3:$T$501,'A.3 RASHODI FUNK'!$A9,'Unos rashoda P4'!I$3:I$501)</f>
        <v>0</v>
      </c>
      <c r="G9" s="347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48267 SVEUČILIŠTE SJEVER</v>
      </c>
    </row>
    <row r="10" spans="1:192">
      <c r="A10" s="225">
        <v>14</v>
      </c>
      <c r="B10" s="25" t="s">
        <v>3967</v>
      </c>
      <c r="C10" s="347"/>
      <c r="D10" s="347"/>
      <c r="E10" s="347">
        <f>SUMIF('Unos rashoda i izdataka'!$R$3:$R$501,'A.3 RASHODI FUNK'!$A10,'Unos rashoda i izdataka'!J$3:J$501)+SUMIF('Unos rashoda P4'!$T$3:$T$501,'A.3 RASHODI FUNK'!$A10,'Unos rashoda P4'!H$3:H$501)</f>
        <v>0</v>
      </c>
      <c r="F10" s="347">
        <f>SUMIF('Unos rashoda i izdataka'!$R$3:$R$501,'A.3 RASHODI FUNK'!$A10,'Unos rashoda i izdataka'!K$3:K$501)+SUMIF('Unos rashoda P4'!$T$3:$T$501,'A.3 RASHODI FUNK'!$A10,'Unos rashoda P4'!I$3:I$501)</f>
        <v>0</v>
      </c>
      <c r="G10" s="347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48267 SVEUČILIŠTE SJEVER</v>
      </c>
    </row>
    <row r="11" spans="1:192">
      <c r="A11" s="225">
        <v>15</v>
      </c>
      <c r="B11" s="25" t="s">
        <v>3924</v>
      </c>
      <c r="C11" s="347"/>
      <c r="D11" s="347"/>
      <c r="E11" s="347">
        <f>SUMIF('Unos rashoda i izdataka'!$R$3:$R$501,'A.3 RASHODI FUNK'!$A11,'Unos rashoda i izdataka'!J$3:J$501)+SUMIF('Unos rashoda P4'!$T$3:$T$501,'A.3 RASHODI FUNK'!$A11,'Unos rashoda P4'!H$3:H$501)</f>
        <v>0</v>
      </c>
      <c r="F11" s="347">
        <f>SUMIF('Unos rashoda i izdataka'!$R$3:$R$501,'A.3 RASHODI FUNK'!$A11,'Unos rashoda i izdataka'!K$3:K$501)+SUMIF('Unos rashoda P4'!$T$3:$T$501,'A.3 RASHODI FUNK'!$A11,'Unos rashoda P4'!I$3:I$501)</f>
        <v>0</v>
      </c>
      <c r="G11" s="347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48267 SVEUČILIŠTE SJEVER</v>
      </c>
    </row>
    <row r="12" spans="1:192">
      <c r="A12" s="225">
        <v>16</v>
      </c>
      <c r="B12" s="25" t="s">
        <v>3968</v>
      </c>
      <c r="C12" s="347"/>
      <c r="D12" s="347"/>
      <c r="E12" s="347">
        <f>SUMIF('Unos rashoda i izdataka'!$R$3:$R$501,'A.3 RASHODI FUNK'!$A12,'Unos rashoda i izdataka'!J$3:J$501)+SUMIF('Unos rashoda P4'!$T$3:$T$501,'A.3 RASHODI FUNK'!$A12,'Unos rashoda P4'!H$3:H$501)</f>
        <v>0</v>
      </c>
      <c r="F12" s="347">
        <f>SUMIF('Unos rashoda i izdataka'!$R$3:$R$501,'A.3 RASHODI FUNK'!$A12,'Unos rashoda i izdataka'!K$3:K$501)+SUMIF('Unos rashoda P4'!$T$3:$T$501,'A.3 RASHODI FUNK'!$A12,'Unos rashoda P4'!I$3:I$501)</f>
        <v>0</v>
      </c>
      <c r="G12" s="347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48267 SVEUČILIŠTE SJEVER</v>
      </c>
    </row>
    <row r="13" spans="1:192">
      <c r="A13" s="225">
        <v>17</v>
      </c>
      <c r="B13" s="25" t="s">
        <v>3969</v>
      </c>
      <c r="C13" s="347"/>
      <c r="D13" s="347"/>
      <c r="E13" s="347">
        <f>SUMIF('Unos rashoda i izdataka'!$R$3:$R$501,'A.3 RASHODI FUNK'!$A13,'Unos rashoda i izdataka'!J$3:J$501)+SUMIF('Unos rashoda P4'!$T$3:$T$501,'A.3 RASHODI FUNK'!$A13,'Unos rashoda P4'!H$3:H$501)</f>
        <v>0</v>
      </c>
      <c r="F13" s="347">
        <f>SUMIF('Unos rashoda i izdataka'!$R$3:$R$501,'A.3 RASHODI FUNK'!$A13,'Unos rashoda i izdataka'!K$3:K$501)+SUMIF('Unos rashoda P4'!$T$3:$T$501,'A.3 RASHODI FUNK'!$A13,'Unos rashoda P4'!I$3:I$501)</f>
        <v>0</v>
      </c>
      <c r="G13" s="347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48267 SVEUČILIŠTE SJEVER</v>
      </c>
    </row>
    <row r="14" spans="1:192" ht="25.5">
      <c r="A14" s="225">
        <v>18</v>
      </c>
      <c r="B14" s="25" t="s">
        <v>3936</v>
      </c>
      <c r="C14" s="347"/>
      <c r="D14" s="347"/>
      <c r="E14" s="347">
        <f>SUMIF('Unos rashoda i izdataka'!$R$3:$R$501,'A.3 RASHODI FUNK'!$A14,'Unos rashoda i izdataka'!J$3:J$501)+SUMIF('Unos rashoda P4'!$T$3:$T$501,'A.3 RASHODI FUNK'!$A14,'Unos rashoda P4'!H$3:H$501)</f>
        <v>0</v>
      </c>
      <c r="F14" s="347">
        <f>SUMIF('Unos rashoda i izdataka'!$R$3:$R$501,'A.3 RASHODI FUNK'!$A14,'Unos rashoda i izdataka'!K$3:K$501)+SUMIF('Unos rashoda P4'!$T$3:$T$501,'A.3 RASHODI FUNK'!$A14,'Unos rashoda P4'!I$3:I$501)</f>
        <v>0</v>
      </c>
      <c r="G14" s="347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48267 SVEUČILIŠTE SJEVER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48267 SVEUČILIŠTE SJEVER</v>
      </c>
    </row>
    <row r="16" spans="1:192">
      <c r="A16" s="225">
        <v>21</v>
      </c>
      <c r="B16" s="25" t="s">
        <v>3971</v>
      </c>
      <c r="C16" s="347"/>
      <c r="D16" s="347"/>
      <c r="E16" s="347">
        <f>SUMIF('Unos rashoda i izdataka'!$R$3:$R$501,'A.3 RASHODI FUNK'!$A16,'Unos rashoda i izdataka'!J$3:J$501)+SUMIF('Unos rashoda P4'!$T$3:$T$501,'A.3 RASHODI FUNK'!$A16,'Unos rashoda P4'!H$3:H$501)</f>
        <v>0</v>
      </c>
      <c r="F16" s="347">
        <f>SUMIF('Unos rashoda i izdataka'!$R$3:$R$501,'A.3 RASHODI FUNK'!$A16,'Unos rashoda i izdataka'!K$3:K$501)+SUMIF('Unos rashoda P4'!$T$3:$T$501,'A.3 RASHODI FUNK'!$A16,'Unos rashoda P4'!I$3:I$501)</f>
        <v>0</v>
      </c>
      <c r="G16" s="347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48267 SVEUČILIŠTE SJEVER</v>
      </c>
    </row>
    <row r="17" spans="1:8">
      <c r="A17" s="225">
        <v>22</v>
      </c>
      <c r="B17" s="25" t="s">
        <v>3972</v>
      </c>
      <c r="C17" s="347"/>
      <c r="D17" s="347"/>
      <c r="E17" s="347">
        <f>SUMIF('Unos rashoda i izdataka'!$R$3:$R$501,'A.3 RASHODI FUNK'!$A17,'Unos rashoda i izdataka'!J$3:J$501)+SUMIF('Unos rashoda P4'!$T$3:$T$501,'A.3 RASHODI FUNK'!$A17,'Unos rashoda P4'!H$3:H$501)</f>
        <v>0</v>
      </c>
      <c r="F17" s="347">
        <f>SUMIF('Unos rashoda i izdataka'!$R$3:$R$501,'A.3 RASHODI FUNK'!$A17,'Unos rashoda i izdataka'!K$3:K$501)+SUMIF('Unos rashoda P4'!$T$3:$T$501,'A.3 RASHODI FUNK'!$A17,'Unos rashoda P4'!I$3:I$501)</f>
        <v>0</v>
      </c>
      <c r="G17" s="347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48267 SVEUČILIŠTE SJEVER</v>
      </c>
    </row>
    <row r="18" spans="1:8">
      <c r="A18" s="225">
        <v>23</v>
      </c>
      <c r="B18" s="25" t="s">
        <v>3973</v>
      </c>
      <c r="C18" s="347"/>
      <c r="D18" s="347"/>
      <c r="E18" s="347">
        <f>SUMIF('Unos rashoda i izdataka'!$R$3:$R$501,'A.3 RASHODI FUNK'!$A18,'Unos rashoda i izdataka'!J$3:J$501)+SUMIF('Unos rashoda P4'!$T$3:$T$501,'A.3 RASHODI FUNK'!$A18,'Unos rashoda P4'!H$3:H$501)</f>
        <v>0</v>
      </c>
      <c r="F18" s="347">
        <f>SUMIF('Unos rashoda i izdataka'!$R$3:$R$501,'A.3 RASHODI FUNK'!$A18,'Unos rashoda i izdataka'!K$3:K$501)+SUMIF('Unos rashoda P4'!$T$3:$T$501,'A.3 RASHODI FUNK'!$A18,'Unos rashoda P4'!I$3:I$501)</f>
        <v>0</v>
      </c>
      <c r="G18" s="347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48267 SVEUČILIŠTE SJEVER</v>
      </c>
    </row>
    <row r="19" spans="1:8">
      <c r="A19" s="225">
        <v>24</v>
      </c>
      <c r="B19" s="25" t="s">
        <v>3974</v>
      </c>
      <c r="C19" s="347"/>
      <c r="D19" s="347"/>
      <c r="E19" s="347">
        <f>SUMIF('Unos rashoda i izdataka'!$R$3:$R$501,'A.3 RASHODI FUNK'!$A19,'Unos rashoda i izdataka'!J$3:J$501)+SUMIF('Unos rashoda P4'!$T$3:$T$501,'A.3 RASHODI FUNK'!$A19,'Unos rashoda P4'!H$3:H$501)</f>
        <v>0</v>
      </c>
      <c r="F19" s="347">
        <f>SUMIF('Unos rashoda i izdataka'!$R$3:$R$501,'A.3 RASHODI FUNK'!$A19,'Unos rashoda i izdataka'!K$3:K$501)+SUMIF('Unos rashoda P4'!$T$3:$T$501,'A.3 RASHODI FUNK'!$A19,'Unos rashoda P4'!I$3:I$501)</f>
        <v>0</v>
      </c>
      <c r="G19" s="347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48267 SVEUČILIŠTE SJEVER</v>
      </c>
    </row>
    <row r="20" spans="1:8">
      <c r="A20" s="225">
        <v>25</v>
      </c>
      <c r="B20" s="25" t="s">
        <v>3975</v>
      </c>
      <c r="C20" s="347"/>
      <c r="D20" s="347"/>
      <c r="E20" s="347">
        <f>SUMIF('Unos rashoda i izdataka'!$R$3:$R$501,'A.3 RASHODI FUNK'!$A20,'Unos rashoda i izdataka'!J$3:J$501)+SUMIF('Unos rashoda P4'!$T$3:$T$501,'A.3 RASHODI FUNK'!$A20,'Unos rashoda P4'!H$3:H$501)</f>
        <v>0</v>
      </c>
      <c r="F20" s="347">
        <f>SUMIF('Unos rashoda i izdataka'!$R$3:$R$501,'A.3 RASHODI FUNK'!$A20,'Unos rashoda i izdataka'!K$3:K$501)+SUMIF('Unos rashoda P4'!$T$3:$T$501,'A.3 RASHODI FUNK'!$A20,'Unos rashoda P4'!I$3:I$501)</f>
        <v>0</v>
      </c>
      <c r="G20" s="347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48267 SVEUČILIŠTE SJEVER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48267 SVEUČILIŠTE SJEVER</v>
      </c>
    </row>
    <row r="22" spans="1:8">
      <c r="A22" s="225">
        <v>31</v>
      </c>
      <c r="B22" s="25" t="s">
        <v>3977</v>
      </c>
      <c r="C22" s="347"/>
      <c r="D22" s="347"/>
      <c r="E22" s="347">
        <f>SUMIF('Unos rashoda i izdataka'!$R$3:$R$501,'A.3 RASHODI FUNK'!$A22,'Unos rashoda i izdataka'!J$3:J$501)+SUMIF('Unos rashoda P4'!$T$3:$T$501,'A.3 RASHODI FUNK'!$A22,'Unos rashoda P4'!H$3:H$501)</f>
        <v>0</v>
      </c>
      <c r="F22" s="347">
        <f>SUMIF('Unos rashoda i izdataka'!$R$3:$R$501,'A.3 RASHODI FUNK'!$A22,'Unos rashoda i izdataka'!K$3:K$501)+SUMIF('Unos rashoda P4'!$T$3:$T$501,'A.3 RASHODI FUNK'!$A22,'Unos rashoda P4'!I$3:I$501)</f>
        <v>0</v>
      </c>
      <c r="G22" s="347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48267 SVEUČILIŠTE SJEVER</v>
      </c>
    </row>
    <row r="23" spans="1:8">
      <c r="A23" s="225">
        <v>32</v>
      </c>
      <c r="B23" s="25" t="s">
        <v>3978</v>
      </c>
      <c r="C23" s="347"/>
      <c r="D23" s="347"/>
      <c r="E23" s="347">
        <f>SUMIF('Unos rashoda i izdataka'!$R$3:$R$501,'A.3 RASHODI FUNK'!$A23,'Unos rashoda i izdataka'!J$3:J$501)+SUMIF('Unos rashoda P4'!$T$3:$T$501,'A.3 RASHODI FUNK'!$A23,'Unos rashoda P4'!H$3:H$501)</f>
        <v>0</v>
      </c>
      <c r="F23" s="347">
        <f>SUMIF('Unos rashoda i izdataka'!$R$3:$R$501,'A.3 RASHODI FUNK'!$A23,'Unos rashoda i izdataka'!K$3:K$501)+SUMIF('Unos rashoda P4'!$T$3:$T$501,'A.3 RASHODI FUNK'!$A23,'Unos rashoda P4'!I$3:I$501)</f>
        <v>0</v>
      </c>
      <c r="G23" s="347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48267 SVEUČILIŠTE SJEVER</v>
      </c>
    </row>
    <row r="24" spans="1:8">
      <c r="A24" s="225">
        <v>33</v>
      </c>
      <c r="B24" s="25" t="s">
        <v>3979</v>
      </c>
      <c r="C24" s="347"/>
      <c r="D24" s="347"/>
      <c r="E24" s="347">
        <f>SUMIF('Unos rashoda i izdataka'!$R$3:$R$501,'A.3 RASHODI FUNK'!$A24,'Unos rashoda i izdataka'!J$3:J$501)+SUMIF('Unos rashoda P4'!$T$3:$T$501,'A.3 RASHODI FUNK'!$A24,'Unos rashoda P4'!H$3:H$501)</f>
        <v>0</v>
      </c>
      <c r="F24" s="347">
        <f>SUMIF('Unos rashoda i izdataka'!$R$3:$R$501,'A.3 RASHODI FUNK'!$A24,'Unos rashoda i izdataka'!K$3:K$501)+SUMIF('Unos rashoda P4'!$T$3:$T$501,'A.3 RASHODI FUNK'!$A24,'Unos rashoda P4'!I$3:I$501)</f>
        <v>0</v>
      </c>
      <c r="G24" s="347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48267 SVEUČILIŠTE SJEVER</v>
      </c>
    </row>
    <row r="25" spans="1:8">
      <c r="A25" s="225">
        <v>34</v>
      </c>
      <c r="B25" s="25" t="s">
        <v>3980</v>
      </c>
      <c r="C25" s="347"/>
      <c r="D25" s="347"/>
      <c r="E25" s="347">
        <f>SUMIF('Unos rashoda i izdataka'!$R$3:$R$501,'A.3 RASHODI FUNK'!$A25,'Unos rashoda i izdataka'!J$3:J$501)+SUMIF('Unos rashoda P4'!$T$3:$T$501,'A.3 RASHODI FUNK'!$A25,'Unos rashoda P4'!H$3:H$501)</f>
        <v>0</v>
      </c>
      <c r="F25" s="347">
        <f>SUMIF('Unos rashoda i izdataka'!$R$3:$R$501,'A.3 RASHODI FUNK'!$A25,'Unos rashoda i izdataka'!K$3:K$501)+SUMIF('Unos rashoda P4'!$T$3:$T$501,'A.3 RASHODI FUNK'!$A25,'Unos rashoda P4'!I$3:I$501)</f>
        <v>0</v>
      </c>
      <c r="G25" s="347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48267 SVEUČILIŠTE SJEVER</v>
      </c>
    </row>
    <row r="26" spans="1:8">
      <c r="A26" s="225">
        <v>35</v>
      </c>
      <c r="B26" s="25" t="s">
        <v>3981</v>
      </c>
      <c r="C26" s="347"/>
      <c r="D26" s="347"/>
      <c r="E26" s="347">
        <f>SUMIF('Unos rashoda i izdataka'!$R$3:$R$501,'A.3 RASHODI FUNK'!$A26,'Unos rashoda i izdataka'!J$3:J$501)+SUMIF('Unos rashoda P4'!$T$3:$T$501,'A.3 RASHODI FUNK'!$A26,'Unos rashoda P4'!H$3:H$501)</f>
        <v>0</v>
      </c>
      <c r="F26" s="347">
        <f>SUMIF('Unos rashoda i izdataka'!$R$3:$R$501,'A.3 RASHODI FUNK'!$A26,'Unos rashoda i izdataka'!K$3:K$501)+SUMIF('Unos rashoda P4'!$T$3:$T$501,'A.3 RASHODI FUNK'!$A26,'Unos rashoda P4'!I$3:I$501)</f>
        <v>0</v>
      </c>
      <c r="G26" s="347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48267 SVEUČILIŠTE SJEVER</v>
      </c>
    </row>
    <row r="27" spans="1:8" ht="25.5">
      <c r="A27" s="225">
        <v>36</v>
      </c>
      <c r="B27" s="25" t="s">
        <v>3982</v>
      </c>
      <c r="C27" s="347"/>
      <c r="D27" s="347"/>
      <c r="E27" s="347">
        <f>SUMIF('Unos rashoda i izdataka'!$R$3:$R$501,'A.3 RASHODI FUNK'!$A27,'Unos rashoda i izdataka'!J$3:J$501)+SUMIF('Unos rashoda P4'!$T$3:$T$501,'A.3 RASHODI FUNK'!$A27,'Unos rashoda P4'!H$3:H$501)</f>
        <v>0</v>
      </c>
      <c r="F27" s="347">
        <f>SUMIF('Unos rashoda i izdataka'!$R$3:$R$501,'A.3 RASHODI FUNK'!$A27,'Unos rashoda i izdataka'!K$3:K$501)+SUMIF('Unos rashoda P4'!$T$3:$T$501,'A.3 RASHODI FUNK'!$A27,'Unos rashoda P4'!I$3:I$501)</f>
        <v>0</v>
      </c>
      <c r="G27" s="347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48267 SVEUČILIŠTE SJEVER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48267 SVEUČILIŠTE SJEVER</v>
      </c>
    </row>
    <row r="29" spans="1:8">
      <c r="A29" s="225">
        <v>41</v>
      </c>
      <c r="B29" s="25" t="s">
        <v>3984</v>
      </c>
      <c r="C29" s="347"/>
      <c r="D29" s="347"/>
      <c r="E29" s="347">
        <f>SUMIF('Unos rashoda i izdataka'!$R$3:$R$501,'A.3 RASHODI FUNK'!$A29,'Unos rashoda i izdataka'!J$3:J$501)+SUMIF('Unos rashoda P4'!$T$3:$T$501,'A.3 RASHODI FUNK'!$A29,'Unos rashoda P4'!H$3:H$501)</f>
        <v>0</v>
      </c>
      <c r="F29" s="347">
        <f>SUMIF('Unos rashoda i izdataka'!$R$3:$R$501,'A.3 RASHODI FUNK'!$A29,'Unos rashoda i izdataka'!K$3:K$501)+SUMIF('Unos rashoda P4'!$T$3:$T$501,'A.3 RASHODI FUNK'!$A29,'Unos rashoda P4'!I$3:I$501)</f>
        <v>0</v>
      </c>
      <c r="G29" s="347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48267 SVEUČILIŠTE SJEVER</v>
      </c>
    </row>
    <row r="30" spans="1:8">
      <c r="A30" s="225">
        <v>42</v>
      </c>
      <c r="B30" s="25" t="s">
        <v>3985</v>
      </c>
      <c r="C30" s="347"/>
      <c r="D30" s="347"/>
      <c r="E30" s="347">
        <f>SUMIF('Unos rashoda i izdataka'!$R$3:$R$501,'A.3 RASHODI FUNK'!$A30,'Unos rashoda i izdataka'!J$3:J$501)+SUMIF('Unos rashoda P4'!$T$3:$T$501,'A.3 RASHODI FUNK'!$A30,'Unos rashoda P4'!H$3:H$501)</f>
        <v>0</v>
      </c>
      <c r="F30" s="347">
        <f>SUMIF('Unos rashoda i izdataka'!$R$3:$R$501,'A.3 RASHODI FUNK'!$A30,'Unos rashoda i izdataka'!K$3:K$501)+SUMIF('Unos rashoda P4'!$T$3:$T$501,'A.3 RASHODI FUNK'!$A30,'Unos rashoda P4'!I$3:I$501)</f>
        <v>0</v>
      </c>
      <c r="G30" s="347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48267 SVEUČILIŠTE SJEVER</v>
      </c>
    </row>
    <row r="31" spans="1:8">
      <c r="A31" s="225">
        <v>43</v>
      </c>
      <c r="B31" s="25" t="s">
        <v>3986</v>
      </c>
      <c r="C31" s="347"/>
      <c r="D31" s="347"/>
      <c r="E31" s="347">
        <f>SUMIF('Unos rashoda i izdataka'!$R$3:$R$501,'A.3 RASHODI FUNK'!$A31,'Unos rashoda i izdataka'!J$3:J$501)+SUMIF('Unos rashoda P4'!$T$3:$T$501,'A.3 RASHODI FUNK'!$A31,'Unos rashoda P4'!H$3:H$501)</f>
        <v>0</v>
      </c>
      <c r="F31" s="347">
        <f>SUMIF('Unos rashoda i izdataka'!$R$3:$R$501,'A.3 RASHODI FUNK'!$A31,'Unos rashoda i izdataka'!K$3:K$501)+SUMIF('Unos rashoda P4'!$T$3:$T$501,'A.3 RASHODI FUNK'!$A31,'Unos rashoda P4'!I$3:I$501)</f>
        <v>0</v>
      </c>
      <c r="G31" s="347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48267 SVEUČILIŠTE SJEVER</v>
      </c>
    </row>
    <row r="32" spans="1:8">
      <c r="A32" s="225">
        <v>44</v>
      </c>
      <c r="B32" s="25" t="s">
        <v>3987</v>
      </c>
      <c r="C32" s="347"/>
      <c r="D32" s="347"/>
      <c r="E32" s="347">
        <f>SUMIF('Unos rashoda i izdataka'!$R$3:$R$501,'A.3 RASHODI FUNK'!$A32,'Unos rashoda i izdataka'!J$3:J$501)+SUMIF('Unos rashoda P4'!$T$3:$T$501,'A.3 RASHODI FUNK'!$A32,'Unos rashoda P4'!H$3:H$501)</f>
        <v>0</v>
      </c>
      <c r="F32" s="347">
        <f>SUMIF('Unos rashoda i izdataka'!$R$3:$R$501,'A.3 RASHODI FUNK'!$A32,'Unos rashoda i izdataka'!K$3:K$501)+SUMIF('Unos rashoda P4'!$T$3:$T$501,'A.3 RASHODI FUNK'!$A32,'Unos rashoda P4'!I$3:I$501)</f>
        <v>0</v>
      </c>
      <c r="G32" s="347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48267 SVEUČILIŠTE SJEVER</v>
      </c>
    </row>
    <row r="33" spans="1:8">
      <c r="A33" s="225">
        <v>45</v>
      </c>
      <c r="B33" s="25" t="s">
        <v>3988</v>
      </c>
      <c r="C33" s="347"/>
      <c r="D33" s="347"/>
      <c r="E33" s="347">
        <f>SUMIF('Unos rashoda i izdataka'!$R$3:$R$501,'A.3 RASHODI FUNK'!$A33,'Unos rashoda i izdataka'!J$3:J$501)+SUMIF('Unos rashoda P4'!$T$3:$T$501,'A.3 RASHODI FUNK'!$A33,'Unos rashoda P4'!H$3:H$501)</f>
        <v>0</v>
      </c>
      <c r="F33" s="347">
        <f>SUMIF('Unos rashoda i izdataka'!$R$3:$R$501,'A.3 RASHODI FUNK'!$A33,'Unos rashoda i izdataka'!K$3:K$501)+SUMIF('Unos rashoda P4'!$T$3:$T$501,'A.3 RASHODI FUNK'!$A33,'Unos rashoda P4'!I$3:I$501)</f>
        <v>0</v>
      </c>
      <c r="G33" s="347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48267 SVEUČILIŠTE SJEVER</v>
      </c>
    </row>
    <row r="34" spans="1:8">
      <c r="A34" s="225">
        <v>46</v>
      </c>
      <c r="B34" s="25" t="s">
        <v>3946</v>
      </c>
      <c r="C34" s="347"/>
      <c r="D34" s="347"/>
      <c r="E34" s="347">
        <f>SUMIF('Unos rashoda i izdataka'!$R$3:$R$501,'A.3 RASHODI FUNK'!$A34,'Unos rashoda i izdataka'!J$3:J$501)+SUMIF('Unos rashoda P4'!$T$3:$T$501,'A.3 RASHODI FUNK'!$A34,'Unos rashoda P4'!H$3:H$501)</f>
        <v>0</v>
      </c>
      <c r="F34" s="347">
        <f>SUMIF('Unos rashoda i izdataka'!$R$3:$R$501,'A.3 RASHODI FUNK'!$A34,'Unos rashoda i izdataka'!K$3:K$501)+SUMIF('Unos rashoda P4'!$T$3:$T$501,'A.3 RASHODI FUNK'!$A34,'Unos rashoda P4'!I$3:I$501)</f>
        <v>0</v>
      </c>
      <c r="G34" s="347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48267 SVEUČILIŠTE SJEVER</v>
      </c>
    </row>
    <row r="35" spans="1:8">
      <c r="A35" s="225">
        <v>47</v>
      </c>
      <c r="B35" s="25" t="s">
        <v>3989</v>
      </c>
      <c r="C35" s="347"/>
      <c r="D35" s="347"/>
      <c r="E35" s="347">
        <f>SUMIF('Unos rashoda i izdataka'!$R$3:$R$501,'A.3 RASHODI FUNK'!$A35,'Unos rashoda i izdataka'!J$3:J$501)+SUMIF('Unos rashoda P4'!$T$3:$T$501,'A.3 RASHODI FUNK'!$A35,'Unos rashoda P4'!H$3:H$501)</f>
        <v>0</v>
      </c>
      <c r="F35" s="347">
        <f>SUMIF('Unos rashoda i izdataka'!$R$3:$R$501,'A.3 RASHODI FUNK'!$A35,'Unos rashoda i izdataka'!K$3:K$501)+SUMIF('Unos rashoda P4'!$T$3:$T$501,'A.3 RASHODI FUNK'!$A35,'Unos rashoda P4'!I$3:I$501)</f>
        <v>0</v>
      </c>
      <c r="G35" s="347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48267 SVEUČILIŠTE SJEVER</v>
      </c>
    </row>
    <row r="36" spans="1:8">
      <c r="A36" s="225">
        <v>48</v>
      </c>
      <c r="B36" s="25" t="s">
        <v>3990</v>
      </c>
      <c r="C36" s="347"/>
      <c r="D36" s="347"/>
      <c r="E36" s="347">
        <f>SUMIF('Unos rashoda i izdataka'!$R$3:$R$501,'A.3 RASHODI FUNK'!$A36,'Unos rashoda i izdataka'!J$3:J$501)+SUMIF('Unos rashoda P4'!$T$3:$T$501,'A.3 RASHODI FUNK'!$A36,'Unos rashoda P4'!H$3:H$501)</f>
        <v>0</v>
      </c>
      <c r="F36" s="347">
        <f>SUMIF('Unos rashoda i izdataka'!$R$3:$R$501,'A.3 RASHODI FUNK'!$A36,'Unos rashoda i izdataka'!K$3:K$501)+SUMIF('Unos rashoda P4'!$T$3:$T$501,'A.3 RASHODI FUNK'!$A36,'Unos rashoda P4'!I$3:I$501)</f>
        <v>0</v>
      </c>
      <c r="G36" s="347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48267 SVEUČILIŠTE SJEVER</v>
      </c>
    </row>
    <row r="37" spans="1:8">
      <c r="A37" s="225">
        <v>49</v>
      </c>
      <c r="B37" s="25" t="s">
        <v>3991</v>
      </c>
      <c r="C37" s="347"/>
      <c r="D37" s="347"/>
      <c r="E37" s="347">
        <f>SUMIF('Unos rashoda i izdataka'!$R$3:$R$501,'A.3 RASHODI FUNK'!$A37,'Unos rashoda i izdataka'!J$3:J$501)+SUMIF('Unos rashoda P4'!$T$3:$T$501,'A.3 RASHODI FUNK'!$A37,'Unos rashoda P4'!H$3:H$501)</f>
        <v>0</v>
      </c>
      <c r="F37" s="347">
        <f>SUMIF('Unos rashoda i izdataka'!$R$3:$R$501,'A.3 RASHODI FUNK'!$A37,'Unos rashoda i izdataka'!K$3:K$501)+SUMIF('Unos rashoda P4'!$T$3:$T$501,'A.3 RASHODI FUNK'!$A37,'Unos rashoda P4'!I$3:I$501)</f>
        <v>0</v>
      </c>
      <c r="G37" s="347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48267 SVEUČILIŠTE SJEVER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48267 SVEUČILIŠTE SJEVER</v>
      </c>
    </row>
    <row r="39" spans="1:8">
      <c r="A39" s="225">
        <v>51</v>
      </c>
      <c r="B39" s="25" t="s">
        <v>3993</v>
      </c>
      <c r="C39" s="347"/>
      <c r="D39" s="347"/>
      <c r="E39" s="347">
        <f>SUMIF('Unos rashoda i izdataka'!$R$3:$R$501,'A.3 RASHODI FUNK'!$A39,'Unos rashoda i izdataka'!J$3:J$501)+SUMIF('Unos rashoda P4'!$T$3:$T$501,'A.3 RASHODI FUNK'!$A39,'Unos rashoda P4'!H$3:H$501)</f>
        <v>0</v>
      </c>
      <c r="F39" s="347">
        <f>SUMIF('Unos rashoda i izdataka'!$R$3:$R$501,'A.3 RASHODI FUNK'!$A39,'Unos rashoda i izdataka'!K$3:K$501)+SUMIF('Unos rashoda P4'!$T$3:$T$501,'A.3 RASHODI FUNK'!$A39,'Unos rashoda P4'!I$3:I$501)</f>
        <v>0</v>
      </c>
      <c r="G39" s="347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48267 SVEUČILIŠTE SJEVER</v>
      </c>
    </row>
    <row r="40" spans="1:8">
      <c r="A40" s="225">
        <v>52</v>
      </c>
      <c r="B40" s="25" t="s">
        <v>3994</v>
      </c>
      <c r="C40" s="347"/>
      <c r="D40" s="347"/>
      <c r="E40" s="347">
        <f>SUMIF('Unos rashoda i izdataka'!$R$3:$R$501,'A.3 RASHODI FUNK'!$A40,'Unos rashoda i izdataka'!J$3:J$501)+SUMIF('Unos rashoda P4'!$T$3:$T$501,'A.3 RASHODI FUNK'!$A40,'Unos rashoda P4'!H$3:H$501)</f>
        <v>0</v>
      </c>
      <c r="F40" s="347">
        <f>SUMIF('Unos rashoda i izdataka'!$R$3:$R$501,'A.3 RASHODI FUNK'!$A40,'Unos rashoda i izdataka'!K$3:K$501)+SUMIF('Unos rashoda P4'!$T$3:$T$501,'A.3 RASHODI FUNK'!$A40,'Unos rashoda P4'!I$3:I$501)</f>
        <v>0</v>
      </c>
      <c r="G40" s="347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48267 SVEUČILIŠTE SJEVER</v>
      </c>
    </row>
    <row r="41" spans="1:8">
      <c r="A41" s="225">
        <v>53</v>
      </c>
      <c r="B41" s="25" t="s">
        <v>3995</v>
      </c>
      <c r="C41" s="347"/>
      <c r="D41" s="347"/>
      <c r="E41" s="347">
        <f>SUMIF('Unos rashoda i izdataka'!$R$3:$R$501,'A.3 RASHODI FUNK'!$A41,'Unos rashoda i izdataka'!J$3:J$501)+SUMIF('Unos rashoda P4'!$T$3:$T$501,'A.3 RASHODI FUNK'!$A41,'Unos rashoda P4'!H$3:H$501)</f>
        <v>0</v>
      </c>
      <c r="F41" s="347">
        <f>SUMIF('Unos rashoda i izdataka'!$R$3:$R$501,'A.3 RASHODI FUNK'!$A41,'Unos rashoda i izdataka'!K$3:K$501)+SUMIF('Unos rashoda P4'!$T$3:$T$501,'A.3 RASHODI FUNK'!$A41,'Unos rashoda P4'!I$3:I$501)</f>
        <v>0</v>
      </c>
      <c r="G41" s="347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48267 SVEUČILIŠTE SJEVER</v>
      </c>
    </row>
    <row r="42" spans="1:8">
      <c r="A42" s="225">
        <v>54</v>
      </c>
      <c r="B42" s="25" t="s">
        <v>3996</v>
      </c>
      <c r="C42" s="347"/>
      <c r="D42" s="347"/>
      <c r="E42" s="347">
        <f>SUMIF('Unos rashoda i izdataka'!$R$3:$R$501,'A.3 RASHODI FUNK'!$A42,'Unos rashoda i izdataka'!J$3:J$501)+SUMIF('Unos rashoda P4'!$T$3:$T$501,'A.3 RASHODI FUNK'!$A42,'Unos rashoda P4'!H$3:H$501)</f>
        <v>0</v>
      </c>
      <c r="F42" s="347">
        <f>SUMIF('Unos rashoda i izdataka'!$R$3:$R$501,'A.3 RASHODI FUNK'!$A42,'Unos rashoda i izdataka'!K$3:K$501)+SUMIF('Unos rashoda P4'!$T$3:$T$501,'A.3 RASHODI FUNK'!$A42,'Unos rashoda P4'!I$3:I$501)</f>
        <v>0</v>
      </c>
      <c r="G42" s="347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48267 SVEUČILIŠTE SJEVER</v>
      </c>
    </row>
    <row r="43" spans="1:8">
      <c r="A43" s="225">
        <v>55</v>
      </c>
      <c r="B43" s="25" t="s">
        <v>3997</v>
      </c>
      <c r="C43" s="347"/>
      <c r="D43" s="347"/>
      <c r="E43" s="347">
        <f>SUMIF('Unos rashoda i izdataka'!$R$3:$R$501,'A.3 RASHODI FUNK'!$A43,'Unos rashoda i izdataka'!J$3:J$501)+SUMIF('Unos rashoda P4'!$T$3:$T$501,'A.3 RASHODI FUNK'!$A43,'Unos rashoda P4'!H$3:H$501)</f>
        <v>0</v>
      </c>
      <c r="F43" s="347">
        <f>SUMIF('Unos rashoda i izdataka'!$R$3:$R$501,'A.3 RASHODI FUNK'!$A43,'Unos rashoda i izdataka'!K$3:K$501)+SUMIF('Unos rashoda P4'!$T$3:$T$501,'A.3 RASHODI FUNK'!$A43,'Unos rashoda P4'!I$3:I$501)</f>
        <v>0</v>
      </c>
      <c r="G43" s="347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48267 SVEUČILIŠTE SJEVER</v>
      </c>
    </row>
    <row r="44" spans="1:8" ht="25.5">
      <c r="A44" s="225">
        <v>56</v>
      </c>
      <c r="B44" s="25" t="s">
        <v>3998</v>
      </c>
      <c r="C44" s="347"/>
      <c r="D44" s="347"/>
      <c r="E44" s="347">
        <f>SUMIF('Unos rashoda i izdataka'!$R$3:$R$501,'A.3 RASHODI FUNK'!$A44,'Unos rashoda i izdataka'!J$3:J$501)+SUMIF('Unos rashoda P4'!$T$3:$T$501,'A.3 RASHODI FUNK'!$A44,'Unos rashoda P4'!H$3:H$501)</f>
        <v>0</v>
      </c>
      <c r="F44" s="347">
        <f>SUMIF('Unos rashoda i izdataka'!$R$3:$R$501,'A.3 RASHODI FUNK'!$A44,'Unos rashoda i izdataka'!K$3:K$501)+SUMIF('Unos rashoda P4'!$T$3:$T$501,'A.3 RASHODI FUNK'!$A44,'Unos rashoda P4'!I$3:I$501)</f>
        <v>0</v>
      </c>
      <c r="G44" s="347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48267 SVEUČILIŠTE SJEVER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48267 SVEUČILIŠTE SJEVER</v>
      </c>
    </row>
    <row r="46" spans="1:8">
      <c r="A46" s="225">
        <v>61</v>
      </c>
      <c r="B46" s="25" t="s">
        <v>4000</v>
      </c>
      <c r="C46" s="347"/>
      <c r="D46" s="347"/>
      <c r="E46" s="347">
        <f>SUMIF('Unos rashoda i izdataka'!$R$3:$R$501,'A.3 RASHODI FUNK'!$A46,'Unos rashoda i izdataka'!J$3:J$501)+SUMIF('Unos rashoda P4'!$T$3:$T$501,'A.3 RASHODI FUNK'!$A46,'Unos rashoda P4'!H$3:H$501)</f>
        <v>0</v>
      </c>
      <c r="F46" s="347">
        <f>SUMIF('Unos rashoda i izdataka'!$R$3:$R$501,'A.3 RASHODI FUNK'!$A46,'Unos rashoda i izdataka'!K$3:K$501)+SUMIF('Unos rashoda P4'!$T$3:$T$501,'A.3 RASHODI FUNK'!$A46,'Unos rashoda P4'!I$3:I$501)</f>
        <v>0</v>
      </c>
      <c r="G46" s="347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48267 SVEUČILIŠTE SJEVER</v>
      </c>
    </row>
    <row r="47" spans="1:8">
      <c r="A47" s="225">
        <v>62</v>
      </c>
      <c r="B47" s="25" t="s">
        <v>4001</v>
      </c>
      <c r="C47" s="347"/>
      <c r="D47" s="347"/>
      <c r="E47" s="347">
        <f>SUMIF('Unos rashoda i izdataka'!$R$3:$R$501,'A.3 RASHODI FUNK'!$A47,'Unos rashoda i izdataka'!J$3:J$501)+SUMIF('Unos rashoda P4'!$T$3:$T$501,'A.3 RASHODI FUNK'!$A47,'Unos rashoda P4'!H$3:H$501)</f>
        <v>0</v>
      </c>
      <c r="F47" s="347">
        <f>SUMIF('Unos rashoda i izdataka'!$R$3:$R$501,'A.3 RASHODI FUNK'!$A47,'Unos rashoda i izdataka'!K$3:K$501)+SUMIF('Unos rashoda P4'!$T$3:$T$501,'A.3 RASHODI FUNK'!$A47,'Unos rashoda P4'!I$3:I$501)</f>
        <v>0</v>
      </c>
      <c r="G47" s="347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48267 SVEUČILIŠTE SJEVER</v>
      </c>
    </row>
    <row r="48" spans="1:8">
      <c r="A48" s="225">
        <v>63</v>
      </c>
      <c r="B48" s="25" t="s">
        <v>4002</v>
      </c>
      <c r="C48" s="347"/>
      <c r="D48" s="347"/>
      <c r="E48" s="347">
        <f>SUMIF('Unos rashoda i izdataka'!$R$3:$R$501,'A.3 RASHODI FUNK'!$A48,'Unos rashoda i izdataka'!J$3:J$501)+SUMIF('Unos rashoda P4'!$T$3:$T$501,'A.3 RASHODI FUNK'!$A48,'Unos rashoda P4'!H$3:H$501)</f>
        <v>0</v>
      </c>
      <c r="F48" s="347">
        <f>SUMIF('Unos rashoda i izdataka'!$R$3:$R$501,'A.3 RASHODI FUNK'!$A48,'Unos rashoda i izdataka'!K$3:K$501)+SUMIF('Unos rashoda P4'!$T$3:$T$501,'A.3 RASHODI FUNK'!$A48,'Unos rashoda P4'!I$3:I$501)</f>
        <v>0</v>
      </c>
      <c r="G48" s="347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48267 SVEUČILIŠTE SJEVER</v>
      </c>
    </row>
    <row r="49" spans="1:8">
      <c r="A49" s="225">
        <v>64</v>
      </c>
      <c r="B49" s="25" t="s">
        <v>4003</v>
      </c>
      <c r="C49" s="347"/>
      <c r="D49" s="347"/>
      <c r="E49" s="347">
        <f>SUMIF('Unos rashoda i izdataka'!$R$3:$R$501,'A.3 RASHODI FUNK'!$A49,'Unos rashoda i izdataka'!J$3:J$501)+SUMIF('Unos rashoda P4'!$T$3:$T$501,'A.3 RASHODI FUNK'!$A49,'Unos rashoda P4'!H$3:H$501)</f>
        <v>0</v>
      </c>
      <c r="F49" s="347">
        <f>SUMIF('Unos rashoda i izdataka'!$R$3:$R$501,'A.3 RASHODI FUNK'!$A49,'Unos rashoda i izdataka'!K$3:K$501)+SUMIF('Unos rashoda P4'!$T$3:$T$501,'A.3 RASHODI FUNK'!$A49,'Unos rashoda P4'!I$3:I$501)</f>
        <v>0</v>
      </c>
      <c r="G49" s="347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48267 SVEUČILIŠTE SJEVER</v>
      </c>
    </row>
    <row r="50" spans="1:8" ht="25.5">
      <c r="A50" s="225">
        <v>65</v>
      </c>
      <c r="B50" s="25" t="s">
        <v>4004</v>
      </c>
      <c r="C50" s="347"/>
      <c r="D50" s="347"/>
      <c r="E50" s="347">
        <f>SUMIF('Unos rashoda i izdataka'!$R$3:$R$501,'A.3 RASHODI FUNK'!$A50,'Unos rashoda i izdataka'!J$3:J$501)+SUMIF('Unos rashoda P4'!$T$3:$T$501,'A.3 RASHODI FUNK'!$A50,'Unos rashoda P4'!H$3:H$501)</f>
        <v>0</v>
      </c>
      <c r="F50" s="347">
        <f>SUMIF('Unos rashoda i izdataka'!$R$3:$R$501,'A.3 RASHODI FUNK'!$A50,'Unos rashoda i izdataka'!K$3:K$501)+SUMIF('Unos rashoda P4'!$T$3:$T$501,'A.3 RASHODI FUNK'!$A50,'Unos rashoda P4'!I$3:I$501)</f>
        <v>0</v>
      </c>
      <c r="G50" s="347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48267 SVEUČILIŠTE SJEVER</v>
      </c>
    </row>
    <row r="51" spans="1:8" ht="25.5">
      <c r="A51" s="225">
        <v>66</v>
      </c>
      <c r="B51" s="25" t="s">
        <v>4005</v>
      </c>
      <c r="C51" s="347"/>
      <c r="D51" s="347"/>
      <c r="E51" s="347">
        <f>SUMIF('Unos rashoda i izdataka'!$R$3:$R$501,'A.3 RASHODI FUNK'!$A51,'Unos rashoda i izdataka'!J$3:J$501)+SUMIF('Unos rashoda P4'!$T$3:$T$501,'A.3 RASHODI FUNK'!$A51,'Unos rashoda P4'!H$3:H$501)</f>
        <v>0</v>
      </c>
      <c r="F51" s="347">
        <f>SUMIF('Unos rashoda i izdataka'!$R$3:$R$501,'A.3 RASHODI FUNK'!$A51,'Unos rashoda i izdataka'!K$3:K$501)+SUMIF('Unos rashoda P4'!$T$3:$T$501,'A.3 RASHODI FUNK'!$A51,'Unos rashoda P4'!I$3:I$501)</f>
        <v>0</v>
      </c>
      <c r="G51" s="347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48267 SVEUČILIŠTE SJEVER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48267 SVEUČILIŠTE SJEVER</v>
      </c>
    </row>
    <row r="53" spans="1:8">
      <c r="A53" s="225">
        <v>71</v>
      </c>
      <c r="B53" s="25" t="s">
        <v>4007</v>
      </c>
      <c r="C53" s="347"/>
      <c r="D53" s="347"/>
      <c r="E53" s="347">
        <f>SUMIF('Unos rashoda i izdataka'!$R$3:$R$501,'A.3 RASHODI FUNK'!$A53,'Unos rashoda i izdataka'!J$3:J$501)+SUMIF('Unos rashoda P4'!$T$3:$T$501,'A.3 RASHODI FUNK'!$A53,'Unos rashoda P4'!H$3:H$501)</f>
        <v>0</v>
      </c>
      <c r="F53" s="347">
        <f>SUMIF('Unos rashoda i izdataka'!$R$3:$R$501,'A.3 RASHODI FUNK'!$A53,'Unos rashoda i izdataka'!K$3:K$501)+SUMIF('Unos rashoda P4'!$T$3:$T$501,'A.3 RASHODI FUNK'!$A53,'Unos rashoda P4'!I$3:I$501)</f>
        <v>0</v>
      </c>
      <c r="G53" s="347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48267 SVEUČILIŠTE SJEVER</v>
      </c>
    </row>
    <row r="54" spans="1:8">
      <c r="A54" s="225">
        <v>72</v>
      </c>
      <c r="B54" s="25" t="s">
        <v>4008</v>
      </c>
      <c r="C54" s="347"/>
      <c r="D54" s="347"/>
      <c r="E54" s="347">
        <f>SUMIF('Unos rashoda i izdataka'!$R$3:$R$501,'A.3 RASHODI FUNK'!$A54,'Unos rashoda i izdataka'!J$3:J$501)+SUMIF('Unos rashoda P4'!$T$3:$T$501,'A.3 RASHODI FUNK'!$A54,'Unos rashoda P4'!H$3:H$501)</f>
        <v>0</v>
      </c>
      <c r="F54" s="347">
        <f>SUMIF('Unos rashoda i izdataka'!$R$3:$R$501,'A.3 RASHODI FUNK'!$A54,'Unos rashoda i izdataka'!K$3:K$501)+SUMIF('Unos rashoda P4'!$T$3:$T$501,'A.3 RASHODI FUNK'!$A54,'Unos rashoda P4'!I$3:I$501)</f>
        <v>0</v>
      </c>
      <c r="G54" s="347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48267 SVEUČILIŠTE SJEVER</v>
      </c>
    </row>
    <row r="55" spans="1:8">
      <c r="A55" s="225">
        <v>73</v>
      </c>
      <c r="B55" s="25" t="s">
        <v>4009</v>
      </c>
      <c r="C55" s="347"/>
      <c r="D55" s="347"/>
      <c r="E55" s="347">
        <f>SUMIF('Unos rashoda i izdataka'!$R$3:$R$501,'A.3 RASHODI FUNK'!$A55,'Unos rashoda i izdataka'!J$3:J$501)+SUMIF('Unos rashoda P4'!$T$3:$T$501,'A.3 RASHODI FUNK'!$A55,'Unos rashoda P4'!H$3:H$501)</f>
        <v>0</v>
      </c>
      <c r="F55" s="347">
        <f>SUMIF('Unos rashoda i izdataka'!$R$3:$R$501,'A.3 RASHODI FUNK'!$A55,'Unos rashoda i izdataka'!K$3:K$501)+SUMIF('Unos rashoda P4'!$T$3:$T$501,'A.3 RASHODI FUNK'!$A55,'Unos rashoda P4'!I$3:I$501)</f>
        <v>0</v>
      </c>
      <c r="G55" s="347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48267 SVEUČILIŠTE SJEVER</v>
      </c>
    </row>
    <row r="56" spans="1:8">
      <c r="A56" s="225">
        <v>74</v>
      </c>
      <c r="B56" s="25" t="s">
        <v>4010</v>
      </c>
      <c r="C56" s="347"/>
      <c r="D56" s="347"/>
      <c r="E56" s="347">
        <f>SUMIF('Unos rashoda i izdataka'!$R$3:$R$501,'A.3 RASHODI FUNK'!$A56,'Unos rashoda i izdataka'!J$3:J$501)+SUMIF('Unos rashoda P4'!$T$3:$T$501,'A.3 RASHODI FUNK'!$A56,'Unos rashoda P4'!H$3:H$501)</f>
        <v>0</v>
      </c>
      <c r="F56" s="347">
        <f>SUMIF('Unos rashoda i izdataka'!$R$3:$R$501,'A.3 RASHODI FUNK'!$A56,'Unos rashoda i izdataka'!K$3:K$501)+SUMIF('Unos rashoda P4'!$T$3:$T$501,'A.3 RASHODI FUNK'!$A56,'Unos rashoda P4'!I$3:I$501)</f>
        <v>0</v>
      </c>
      <c r="G56" s="347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48267 SVEUČILIŠTE SJEVER</v>
      </c>
    </row>
    <row r="57" spans="1:8">
      <c r="A57" s="225">
        <v>75</v>
      </c>
      <c r="B57" s="25" t="s">
        <v>4011</v>
      </c>
      <c r="C57" s="347"/>
      <c r="D57" s="347"/>
      <c r="E57" s="347">
        <f>SUMIF('Unos rashoda i izdataka'!$R$3:$R$501,'A.3 RASHODI FUNK'!$A57,'Unos rashoda i izdataka'!J$3:J$501)+SUMIF('Unos rashoda P4'!$T$3:$T$501,'A.3 RASHODI FUNK'!$A57,'Unos rashoda P4'!H$3:H$501)</f>
        <v>0</v>
      </c>
      <c r="F57" s="347">
        <f>SUMIF('Unos rashoda i izdataka'!$R$3:$R$501,'A.3 RASHODI FUNK'!$A57,'Unos rashoda i izdataka'!K$3:K$501)+SUMIF('Unos rashoda P4'!$T$3:$T$501,'A.3 RASHODI FUNK'!$A57,'Unos rashoda P4'!I$3:I$501)</f>
        <v>0</v>
      </c>
      <c r="G57" s="347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48267 SVEUČILIŠTE SJEVER</v>
      </c>
    </row>
    <row r="58" spans="1:8" ht="25.5">
      <c r="A58" s="225">
        <v>76</v>
      </c>
      <c r="B58" s="25" t="s">
        <v>4012</v>
      </c>
      <c r="C58" s="347"/>
      <c r="D58" s="347"/>
      <c r="E58" s="347">
        <f>SUMIF('Unos rashoda i izdataka'!$R$3:$R$501,'A.3 RASHODI FUNK'!$A58,'Unos rashoda i izdataka'!J$3:J$501)+SUMIF('Unos rashoda P4'!$T$3:$T$501,'A.3 RASHODI FUNK'!$A58,'Unos rashoda P4'!H$3:H$501)</f>
        <v>0</v>
      </c>
      <c r="F58" s="347">
        <f>SUMIF('Unos rashoda i izdataka'!$R$3:$R$501,'A.3 RASHODI FUNK'!$A58,'Unos rashoda i izdataka'!K$3:K$501)+SUMIF('Unos rashoda P4'!$T$3:$T$501,'A.3 RASHODI FUNK'!$A58,'Unos rashoda P4'!I$3:I$501)</f>
        <v>0</v>
      </c>
      <c r="G58" s="347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48267 SVEUČILIŠTE SJEVER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48267 SVEUČILIŠTE SJEVER</v>
      </c>
    </row>
    <row r="60" spans="1:8">
      <c r="A60" s="225">
        <v>81</v>
      </c>
      <c r="B60" s="25" t="s">
        <v>4014</v>
      </c>
      <c r="C60" s="347"/>
      <c r="D60" s="347"/>
      <c r="E60" s="347">
        <f>SUMIF('Unos rashoda i izdataka'!$R$3:$R$501,'A.3 RASHODI FUNK'!$A60,'Unos rashoda i izdataka'!J$3:J$501)+SUMIF('Unos rashoda P4'!$T$3:$T$501,'A.3 RASHODI FUNK'!$A60,'Unos rashoda P4'!H$3:H$501)</f>
        <v>0</v>
      </c>
      <c r="F60" s="347">
        <f>SUMIF('Unos rashoda i izdataka'!$R$3:$R$501,'A.3 RASHODI FUNK'!$A60,'Unos rashoda i izdataka'!K$3:K$501)+SUMIF('Unos rashoda P4'!$T$3:$T$501,'A.3 RASHODI FUNK'!$A60,'Unos rashoda P4'!I$3:I$501)</f>
        <v>0</v>
      </c>
      <c r="G60" s="347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48267 SVEUČILIŠTE SJEVER</v>
      </c>
    </row>
    <row r="61" spans="1:8">
      <c r="A61" s="225">
        <v>82</v>
      </c>
      <c r="B61" s="25" t="s">
        <v>3932</v>
      </c>
      <c r="C61" s="347"/>
      <c r="D61" s="347"/>
      <c r="E61" s="347">
        <f>SUMIF('Unos rashoda i izdataka'!$R$3:$R$501,'A.3 RASHODI FUNK'!$A61,'Unos rashoda i izdataka'!J$3:J$501)+SUMIF('Unos rashoda P4'!$T$3:$T$501,'A.3 RASHODI FUNK'!$A61,'Unos rashoda P4'!H$3:H$501)</f>
        <v>0</v>
      </c>
      <c r="F61" s="347">
        <f>SUMIF('Unos rashoda i izdataka'!$R$3:$R$501,'A.3 RASHODI FUNK'!$A61,'Unos rashoda i izdataka'!K$3:K$501)+SUMIF('Unos rashoda P4'!$T$3:$T$501,'A.3 RASHODI FUNK'!$A61,'Unos rashoda P4'!I$3:I$501)</f>
        <v>0</v>
      </c>
      <c r="G61" s="347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48267 SVEUČILIŠTE SJEVER</v>
      </c>
    </row>
    <row r="62" spans="1:8">
      <c r="A62" s="225">
        <v>83</v>
      </c>
      <c r="B62" s="25" t="s">
        <v>4015</v>
      </c>
      <c r="C62" s="347"/>
      <c r="D62" s="347"/>
      <c r="E62" s="347">
        <f>SUMIF('Unos rashoda i izdataka'!$R$3:$R$501,'A.3 RASHODI FUNK'!$A62,'Unos rashoda i izdataka'!J$3:J$501)+SUMIF('Unos rashoda P4'!$T$3:$T$501,'A.3 RASHODI FUNK'!$A62,'Unos rashoda P4'!H$3:H$501)</f>
        <v>0</v>
      </c>
      <c r="F62" s="347">
        <f>SUMIF('Unos rashoda i izdataka'!$R$3:$R$501,'A.3 RASHODI FUNK'!$A62,'Unos rashoda i izdataka'!K$3:K$501)+SUMIF('Unos rashoda P4'!$T$3:$T$501,'A.3 RASHODI FUNK'!$A62,'Unos rashoda P4'!I$3:I$501)</f>
        <v>0</v>
      </c>
      <c r="G62" s="347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48267 SVEUČILIŠTE SJEVER</v>
      </c>
    </row>
    <row r="63" spans="1:8">
      <c r="A63" s="225">
        <v>84</v>
      </c>
      <c r="B63" s="25" t="s">
        <v>4016</v>
      </c>
      <c r="C63" s="347"/>
      <c r="D63" s="347"/>
      <c r="E63" s="347">
        <f>SUMIF('Unos rashoda i izdataka'!$R$3:$R$501,'A.3 RASHODI FUNK'!$A63,'Unos rashoda i izdataka'!J$3:J$501)+SUMIF('Unos rashoda P4'!$T$3:$T$501,'A.3 RASHODI FUNK'!$A63,'Unos rashoda P4'!H$3:H$501)</f>
        <v>0</v>
      </c>
      <c r="F63" s="347">
        <f>SUMIF('Unos rashoda i izdataka'!$R$3:$R$501,'A.3 RASHODI FUNK'!$A63,'Unos rashoda i izdataka'!K$3:K$501)+SUMIF('Unos rashoda P4'!$T$3:$T$501,'A.3 RASHODI FUNK'!$A63,'Unos rashoda P4'!I$3:I$501)</f>
        <v>0</v>
      </c>
      <c r="G63" s="347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48267 SVEUČILIŠTE SJEVER</v>
      </c>
    </row>
    <row r="64" spans="1:8">
      <c r="A64" s="225">
        <v>85</v>
      </c>
      <c r="B64" s="25" t="s">
        <v>4017</v>
      </c>
      <c r="C64" s="347"/>
      <c r="D64" s="347"/>
      <c r="E64" s="347">
        <f>SUMIF('Unos rashoda i izdataka'!$R$3:$R$501,'A.3 RASHODI FUNK'!$A64,'Unos rashoda i izdataka'!J$3:J$501)+SUMIF('Unos rashoda P4'!$T$3:$T$501,'A.3 RASHODI FUNK'!$A64,'Unos rashoda P4'!H$3:H$501)</f>
        <v>0</v>
      </c>
      <c r="F64" s="347">
        <f>SUMIF('Unos rashoda i izdataka'!$R$3:$R$501,'A.3 RASHODI FUNK'!$A64,'Unos rashoda i izdataka'!K$3:K$501)+SUMIF('Unos rashoda P4'!$T$3:$T$501,'A.3 RASHODI FUNK'!$A64,'Unos rashoda P4'!I$3:I$501)</f>
        <v>0</v>
      </c>
      <c r="G64" s="347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48267 SVEUČILIŠTE SJEVER</v>
      </c>
    </row>
    <row r="65" spans="1:8" ht="25.5">
      <c r="A65" s="225">
        <v>86</v>
      </c>
      <c r="B65" s="25" t="s">
        <v>4018</v>
      </c>
      <c r="C65" s="347"/>
      <c r="D65" s="347"/>
      <c r="E65" s="347">
        <f>SUMIF('Unos rashoda i izdataka'!$R$3:$R$501,'A.3 RASHODI FUNK'!$A65,'Unos rashoda i izdataka'!J$3:J$501)+SUMIF('Unos rashoda P4'!$T$3:$T$501,'A.3 RASHODI FUNK'!$A65,'Unos rashoda P4'!H$3:H$501)</f>
        <v>0</v>
      </c>
      <c r="F65" s="347">
        <f>SUMIF('Unos rashoda i izdataka'!$R$3:$R$501,'A.3 RASHODI FUNK'!$A65,'Unos rashoda i izdataka'!K$3:K$501)+SUMIF('Unos rashoda P4'!$T$3:$T$501,'A.3 RASHODI FUNK'!$A65,'Unos rashoda P4'!I$3:I$501)</f>
        <v>0</v>
      </c>
      <c r="G65" s="347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48267 SVEUČILIŠTE SJEVER</v>
      </c>
    </row>
    <row r="66" spans="1:8">
      <c r="A66" s="209">
        <v>9</v>
      </c>
      <c r="B66" s="36" t="s">
        <v>4019</v>
      </c>
      <c r="C66" s="233">
        <f t="shared" ref="C66:D66" si="10">SUM(C67:C74)</f>
        <v>10663167</v>
      </c>
      <c r="D66" s="233">
        <f t="shared" si="10"/>
        <v>16224539</v>
      </c>
      <c r="E66" s="233">
        <f>SUM(E67:E74)</f>
        <v>18424789</v>
      </c>
      <c r="F66" s="233">
        <f>SUM(F67:F74)</f>
        <v>11873117</v>
      </c>
      <c r="G66" s="233">
        <f>SUM(G67:G74)</f>
        <v>11589927</v>
      </c>
      <c r="H66" s="315" t="str">
        <f>'OPĆI DIO'!$C$1</f>
        <v>48267 SVEUČILIŠTE SJEVER</v>
      </c>
    </row>
    <row r="67" spans="1:8">
      <c r="A67" s="225">
        <v>91</v>
      </c>
      <c r="B67" s="25" t="s">
        <v>4020</v>
      </c>
      <c r="C67" s="347"/>
      <c r="D67" s="347"/>
      <c r="E67" s="347">
        <f>SUMIF('Unos rashoda i izdataka'!$R$3:$R$501,'A.3 RASHODI FUNK'!$A67,'Unos rashoda i izdataka'!J$3:J$501)+SUMIF('Unos rashoda P4'!$T$3:$T$501,'A.3 RASHODI FUNK'!$A67,'Unos rashoda P4'!H$3:H$501)</f>
        <v>0</v>
      </c>
      <c r="F67" s="347">
        <f>SUMIF('Unos rashoda i izdataka'!$R$3:$R$501,'A.3 RASHODI FUNK'!$A67,'Unos rashoda i izdataka'!K$3:K$501)+SUMIF('Unos rashoda P4'!$T$3:$T$501,'A.3 RASHODI FUNK'!$A67,'Unos rashoda P4'!I$3:I$501)</f>
        <v>0</v>
      </c>
      <c r="G67" s="347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48267 SVEUČILIŠTE SJEVER</v>
      </c>
    </row>
    <row r="68" spans="1:8">
      <c r="A68" s="225">
        <v>92</v>
      </c>
      <c r="B68" s="25" t="s">
        <v>4021</v>
      </c>
      <c r="C68" s="347"/>
      <c r="D68" s="347"/>
      <c r="E68" s="347">
        <f>SUMIF('Unos rashoda i izdataka'!$R$3:$R$501,'A.3 RASHODI FUNK'!$A68,'Unos rashoda i izdataka'!J$3:J$501)+SUMIF('Unos rashoda P4'!$T$3:$T$501,'A.3 RASHODI FUNK'!$A68,'Unos rashoda P4'!H$3:H$501)</f>
        <v>0</v>
      </c>
      <c r="F68" s="347">
        <f>SUMIF('Unos rashoda i izdataka'!$R$3:$R$501,'A.3 RASHODI FUNK'!$A68,'Unos rashoda i izdataka'!K$3:K$501)+SUMIF('Unos rashoda P4'!$T$3:$T$501,'A.3 RASHODI FUNK'!$A68,'Unos rashoda P4'!I$3:I$501)</f>
        <v>0</v>
      </c>
      <c r="G68" s="347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48267 SVEUČILIŠTE SJEVER</v>
      </c>
    </row>
    <row r="69" spans="1:8" ht="26.25" customHeight="1">
      <c r="A69" s="225">
        <v>93</v>
      </c>
      <c r="B69" s="25" t="s">
        <v>4022</v>
      </c>
      <c r="C69" s="347"/>
      <c r="D69" s="347"/>
      <c r="E69" s="347">
        <f>SUMIF('Unos rashoda i izdataka'!$R$3:$R$501,'A.3 RASHODI FUNK'!$A69,'Unos rashoda i izdataka'!J$3:J$501)+SUMIF('Unos rashoda P4'!$T$3:$T$501,'A.3 RASHODI FUNK'!$A69,'Unos rashoda P4'!H$3:H$501)</f>
        <v>0</v>
      </c>
      <c r="F69" s="347">
        <f>SUMIF('Unos rashoda i izdataka'!$R$3:$R$501,'A.3 RASHODI FUNK'!$A69,'Unos rashoda i izdataka'!K$3:K$501)+SUMIF('Unos rashoda P4'!$T$3:$T$501,'A.3 RASHODI FUNK'!$A69,'Unos rashoda P4'!I$3:I$501)</f>
        <v>0</v>
      </c>
      <c r="G69" s="347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48267 SVEUČILIŠTE SJEVER</v>
      </c>
    </row>
    <row r="70" spans="1:8">
      <c r="A70" s="225">
        <v>94</v>
      </c>
      <c r="B70" s="25" t="s">
        <v>4023</v>
      </c>
      <c r="C70" s="347">
        <v>10663167</v>
      </c>
      <c r="D70" s="347">
        <v>16224539</v>
      </c>
      <c r="E70" s="347">
        <v>18409789</v>
      </c>
      <c r="F70" s="347">
        <v>11858117</v>
      </c>
      <c r="G70" s="347">
        <v>11574927</v>
      </c>
      <c r="H70" s="315" t="str">
        <f>'OPĆI DIO'!$C$1</f>
        <v>48267 SVEUČILIŠTE SJEVER</v>
      </c>
    </row>
    <row r="71" spans="1:8">
      <c r="A71" s="225">
        <v>95</v>
      </c>
      <c r="B71" s="25" t="s">
        <v>3942</v>
      </c>
      <c r="C71" s="347"/>
      <c r="D71" s="347"/>
      <c r="E71" s="347">
        <f>SUMIF('Unos rashoda i izdataka'!$R$3:$R$501,'A.3 RASHODI FUNK'!$A71,'Unos rashoda i izdataka'!J$3:J$501)+SUMIF('Unos rashoda P4'!$T$3:$T$501,'A.3 RASHODI FUNK'!$A71,'Unos rashoda P4'!H$3:H$501)</f>
        <v>0</v>
      </c>
      <c r="F71" s="347">
        <f>SUMIF('Unos rashoda i izdataka'!$R$3:$R$501,'A.3 RASHODI FUNK'!$A71,'Unos rashoda i izdataka'!K$3:K$501)+SUMIF('Unos rashoda P4'!$T$3:$T$501,'A.3 RASHODI FUNK'!$A71,'Unos rashoda P4'!I$3:I$501)</f>
        <v>0</v>
      </c>
      <c r="G71" s="347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48267 SVEUČILIŠTE SJEVER</v>
      </c>
    </row>
    <row r="72" spans="1:8">
      <c r="A72" s="225">
        <v>96</v>
      </c>
      <c r="B72" s="25" t="s">
        <v>3940</v>
      </c>
      <c r="C72" s="347"/>
      <c r="D72" s="347"/>
      <c r="E72" s="347">
        <f>SUMIF('Unos rashoda i izdataka'!$R$3:$R$501,'A.3 RASHODI FUNK'!$A72,'Unos rashoda i izdataka'!J$3:J$501)+SUMIF('Unos rashoda P4'!$T$3:$T$501,'A.3 RASHODI FUNK'!$A72,'Unos rashoda P4'!H$3:H$501)</f>
        <v>15000</v>
      </c>
      <c r="F72" s="347">
        <f>SUMIF('Unos rashoda i izdataka'!$R$3:$R$501,'A.3 RASHODI FUNK'!$A72,'Unos rashoda i izdataka'!K$3:K$501)+SUMIF('Unos rashoda P4'!$T$3:$T$501,'A.3 RASHODI FUNK'!$A72,'Unos rashoda P4'!I$3:I$501)</f>
        <v>15000</v>
      </c>
      <c r="G72" s="347">
        <f>SUMIF('Unos rashoda i izdataka'!$R$3:$R$501,'A.3 RASHODI FUNK'!$A72,'Unos rashoda i izdataka'!L$3:L$501)+SUMIF('Unos rashoda P4'!$T$3:$T$501,'A.3 RASHODI FUNK'!$A72,'Unos rashoda P4'!J$3:J$501)</f>
        <v>15000</v>
      </c>
      <c r="H72" s="315" t="str">
        <f>'OPĆI DIO'!$C$1</f>
        <v>48267 SVEUČILIŠTE SJEVER</v>
      </c>
    </row>
    <row r="73" spans="1:8">
      <c r="A73" s="225">
        <v>97</v>
      </c>
      <c r="B73" s="25" t="s">
        <v>3926</v>
      </c>
      <c r="C73" s="347"/>
      <c r="D73" s="347"/>
      <c r="E73" s="347">
        <f>SUMIF('Unos rashoda i izdataka'!$R$3:$R$501,'A.3 RASHODI FUNK'!$A73,'Unos rashoda i izdataka'!J$3:J$501)+SUMIF('Unos rashoda P4'!$T$3:$T$501,'A.3 RASHODI FUNK'!$A73,'Unos rashoda P4'!H$3:H$501)</f>
        <v>0</v>
      </c>
      <c r="F73" s="347">
        <f>SUMIF('Unos rashoda i izdataka'!$R$3:$R$501,'A.3 RASHODI FUNK'!$A73,'Unos rashoda i izdataka'!K$3:K$501)+SUMIF('Unos rashoda P4'!$T$3:$T$501,'A.3 RASHODI FUNK'!$A73,'Unos rashoda P4'!I$3:I$501)</f>
        <v>0</v>
      </c>
      <c r="G73" s="347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48267 SVEUČILIŠTE SJEVER</v>
      </c>
    </row>
    <row r="74" spans="1:8">
      <c r="A74" s="225">
        <v>98</v>
      </c>
      <c r="B74" s="25" t="s">
        <v>3928</v>
      </c>
      <c r="C74" s="347"/>
      <c r="D74" s="347"/>
      <c r="E74" s="347">
        <f>SUMIF('Unos rashoda i izdataka'!$R$3:$R$501,'A.3 RASHODI FUNK'!$A74,'Unos rashoda i izdataka'!J$3:J$501)+SUMIF('Unos rashoda P4'!$T$3:$T$501,'A.3 RASHODI FUNK'!$A74,'Unos rashoda P4'!H$3:H$501)</f>
        <v>0</v>
      </c>
      <c r="F74" s="347">
        <f>SUMIF('Unos rashoda i izdataka'!$R$3:$R$501,'A.3 RASHODI FUNK'!$A74,'Unos rashoda i izdataka'!K$3:K$501)+SUMIF('Unos rashoda P4'!$T$3:$T$501,'A.3 RASHODI FUNK'!$A74,'Unos rashoda P4'!I$3:I$501)</f>
        <v>0</v>
      </c>
      <c r="G74" s="347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48267 SVEUČILIŠTE SJEVER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48267 SVEUČILIŠTE SJEVER</v>
      </c>
    </row>
    <row r="76" spans="1:8">
      <c r="A76" s="225">
        <v>101</v>
      </c>
      <c r="B76" s="25" t="s">
        <v>4025</v>
      </c>
      <c r="C76" s="347"/>
      <c r="D76" s="347"/>
      <c r="E76" s="347">
        <f>SUMIF('Unos rashoda i izdataka'!$R$3:$R$501,'A.3 RASHODI FUNK'!$A76,'Unos rashoda i izdataka'!J$3:J$501)+SUMIF('Unos rashoda P4'!$T$3:$T$501,'A.3 RASHODI FUNK'!$A76,'Unos rashoda P4'!H$3:H$501)</f>
        <v>0</v>
      </c>
      <c r="F76" s="347">
        <f>SUMIF('Unos rashoda i izdataka'!$R$3:$R$501,'A.3 RASHODI FUNK'!$A76,'Unos rashoda i izdataka'!K$3:K$501)+SUMIF('Unos rashoda P4'!$T$3:$T$501,'A.3 RASHODI FUNK'!$A76,'Unos rashoda P4'!I$3:I$501)</f>
        <v>0</v>
      </c>
      <c r="G76" s="347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48267 SVEUČILIŠTE SJEVER</v>
      </c>
    </row>
    <row r="77" spans="1:8">
      <c r="A77" s="225">
        <v>102</v>
      </c>
      <c r="B77" s="25" t="s">
        <v>4026</v>
      </c>
      <c r="C77" s="347"/>
      <c r="D77" s="347"/>
      <c r="E77" s="347">
        <f>SUMIF('Unos rashoda i izdataka'!$R$3:$R$501,'A.3 RASHODI FUNK'!$A77,'Unos rashoda i izdataka'!J$3:J$501)+SUMIF('Unos rashoda P4'!$T$3:$T$501,'A.3 RASHODI FUNK'!$A77,'Unos rashoda P4'!H$3:H$501)</f>
        <v>0</v>
      </c>
      <c r="F77" s="347">
        <f>SUMIF('Unos rashoda i izdataka'!$R$3:$R$501,'A.3 RASHODI FUNK'!$A77,'Unos rashoda i izdataka'!K$3:K$501)+SUMIF('Unos rashoda P4'!$T$3:$T$501,'A.3 RASHODI FUNK'!$A77,'Unos rashoda P4'!I$3:I$501)</f>
        <v>0</v>
      </c>
      <c r="G77" s="347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48267 SVEUČILIŠTE SJEVER</v>
      </c>
    </row>
    <row r="78" spans="1:8">
      <c r="A78" s="225">
        <v>103</v>
      </c>
      <c r="B78" s="25" t="s">
        <v>4027</v>
      </c>
      <c r="C78" s="347"/>
      <c r="D78" s="347"/>
      <c r="E78" s="347">
        <f>SUMIF('Unos rashoda i izdataka'!$R$3:$R$501,'A.3 RASHODI FUNK'!$A78,'Unos rashoda i izdataka'!J$3:J$501)+SUMIF('Unos rashoda P4'!$T$3:$T$501,'A.3 RASHODI FUNK'!$A78,'Unos rashoda P4'!H$3:H$501)</f>
        <v>0</v>
      </c>
      <c r="F78" s="347">
        <f>SUMIF('Unos rashoda i izdataka'!$R$3:$R$501,'A.3 RASHODI FUNK'!$A78,'Unos rashoda i izdataka'!K$3:K$501)+SUMIF('Unos rashoda P4'!$T$3:$T$501,'A.3 RASHODI FUNK'!$A78,'Unos rashoda P4'!I$3:I$501)</f>
        <v>0</v>
      </c>
      <c r="G78" s="347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48267 SVEUČILIŠTE SJEVER</v>
      </c>
    </row>
    <row r="79" spans="1:8">
      <c r="A79" s="225">
        <v>104</v>
      </c>
      <c r="B79" s="25" t="s">
        <v>4028</v>
      </c>
      <c r="C79" s="347"/>
      <c r="D79" s="347"/>
      <c r="E79" s="347">
        <f>SUMIF('Unos rashoda i izdataka'!$R$3:$R$501,'A.3 RASHODI FUNK'!$A79,'Unos rashoda i izdataka'!J$3:J$501)+SUMIF('Unos rashoda P4'!$T$3:$T$501,'A.3 RASHODI FUNK'!$A79,'Unos rashoda P4'!H$3:H$501)</f>
        <v>0</v>
      </c>
      <c r="F79" s="347">
        <f>SUMIF('Unos rashoda i izdataka'!$R$3:$R$501,'A.3 RASHODI FUNK'!$A79,'Unos rashoda i izdataka'!K$3:K$501)+SUMIF('Unos rashoda P4'!$T$3:$T$501,'A.3 RASHODI FUNK'!$A79,'Unos rashoda P4'!I$3:I$501)</f>
        <v>0</v>
      </c>
      <c r="G79" s="347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48267 SVEUČILIŠTE SJEVER</v>
      </c>
    </row>
    <row r="80" spans="1:8">
      <c r="A80" s="225">
        <v>105</v>
      </c>
      <c r="B80" s="25" t="s">
        <v>4029</v>
      </c>
      <c r="C80" s="347"/>
      <c r="D80" s="347"/>
      <c r="E80" s="347">
        <f>SUMIF('Unos rashoda i izdataka'!$R$3:$R$501,'A.3 RASHODI FUNK'!$A80,'Unos rashoda i izdataka'!J$3:J$501)+SUMIF('Unos rashoda P4'!$T$3:$T$501,'A.3 RASHODI FUNK'!$A80,'Unos rashoda P4'!H$3:H$501)</f>
        <v>0</v>
      </c>
      <c r="F80" s="347">
        <f>SUMIF('Unos rashoda i izdataka'!$R$3:$R$501,'A.3 RASHODI FUNK'!$A80,'Unos rashoda i izdataka'!K$3:K$501)+SUMIF('Unos rashoda P4'!$T$3:$T$501,'A.3 RASHODI FUNK'!$A80,'Unos rashoda P4'!I$3:I$501)</f>
        <v>0</v>
      </c>
      <c r="G80" s="347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48267 SVEUČILIŠTE SJEVER</v>
      </c>
    </row>
    <row r="81" spans="1:8">
      <c r="A81" s="225">
        <v>106</v>
      </c>
      <c r="B81" s="25" t="s">
        <v>4030</v>
      </c>
      <c r="C81" s="347"/>
      <c r="D81" s="347"/>
      <c r="E81" s="347">
        <f>SUMIF('Unos rashoda i izdataka'!$R$3:$R$501,'A.3 RASHODI FUNK'!$A81,'Unos rashoda i izdataka'!J$3:J$501)+SUMIF('Unos rashoda P4'!$T$3:$T$501,'A.3 RASHODI FUNK'!$A81,'Unos rashoda P4'!H$3:H$501)</f>
        <v>0</v>
      </c>
      <c r="F81" s="347">
        <f>SUMIF('Unos rashoda i izdataka'!$R$3:$R$501,'A.3 RASHODI FUNK'!$A81,'Unos rashoda i izdataka'!K$3:K$501)+SUMIF('Unos rashoda P4'!$T$3:$T$501,'A.3 RASHODI FUNK'!$A81,'Unos rashoda P4'!I$3:I$501)</f>
        <v>0</v>
      </c>
      <c r="G81" s="347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48267 SVEUČILIŠTE SJEVER</v>
      </c>
    </row>
    <row r="82" spans="1:8" ht="25.5">
      <c r="A82" s="225">
        <v>107</v>
      </c>
      <c r="B82" s="25" t="s">
        <v>4031</v>
      </c>
      <c r="C82" s="347"/>
      <c r="D82" s="347"/>
      <c r="E82" s="347">
        <f>SUMIF('Unos rashoda i izdataka'!$R$3:$R$501,'A.3 RASHODI FUNK'!$A82,'Unos rashoda i izdataka'!J$3:J$501)+SUMIF('Unos rashoda P4'!$T$3:$T$501,'A.3 RASHODI FUNK'!$A82,'Unos rashoda P4'!H$3:H$501)</f>
        <v>0</v>
      </c>
      <c r="F82" s="347">
        <f>SUMIF('Unos rashoda i izdataka'!$R$3:$R$501,'A.3 RASHODI FUNK'!$A82,'Unos rashoda i izdataka'!K$3:K$501)+SUMIF('Unos rashoda P4'!$T$3:$T$501,'A.3 RASHODI FUNK'!$A82,'Unos rashoda P4'!I$3:I$501)</f>
        <v>0</v>
      </c>
      <c r="G82" s="347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48267 SVEUČILIŠTE SJEVER</v>
      </c>
    </row>
    <row r="83" spans="1:8">
      <c r="A83" s="225">
        <v>108</v>
      </c>
      <c r="B83" s="25" t="s">
        <v>4032</v>
      </c>
      <c r="C83" s="347"/>
      <c r="D83" s="347"/>
      <c r="E83" s="347">
        <f>SUMIF('Unos rashoda i izdataka'!$R$3:$R$501,'A.3 RASHODI FUNK'!$A83,'Unos rashoda i izdataka'!J$3:J$501)+SUMIF('Unos rashoda P4'!$T$3:$T$501,'A.3 RASHODI FUNK'!$A83,'Unos rashoda P4'!H$3:H$501)</f>
        <v>0</v>
      </c>
      <c r="F83" s="347">
        <f>SUMIF('Unos rashoda i izdataka'!$R$3:$R$501,'A.3 RASHODI FUNK'!$A83,'Unos rashoda i izdataka'!K$3:K$501)+SUMIF('Unos rashoda P4'!$T$3:$T$501,'A.3 RASHODI FUNK'!$A83,'Unos rashoda P4'!I$3:I$501)</f>
        <v>0</v>
      </c>
      <c r="G83" s="347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48267 SVEUČILIŠTE SJEVER</v>
      </c>
    </row>
    <row r="84" spans="1:8" ht="25.5">
      <c r="A84" s="225">
        <v>109</v>
      </c>
      <c r="B84" s="25" t="s">
        <v>4033</v>
      </c>
      <c r="C84" s="347"/>
      <c r="D84" s="347"/>
      <c r="E84" s="347">
        <f>SUMIF('Unos rashoda i izdataka'!$R$3:$R$501,'A.3 RASHODI FUNK'!$A84,'Unos rashoda i izdataka'!J$3:J$501)+SUMIF('Unos rashoda P4'!$T$3:$T$501,'A.3 RASHODI FUNK'!$A84,'Unos rashoda P4'!H$3:H$501)</f>
        <v>0</v>
      </c>
      <c r="F84" s="347">
        <f>SUMIF('Unos rashoda i izdataka'!$R$3:$R$501,'A.3 RASHODI FUNK'!$A84,'Unos rashoda i izdataka'!K$3:K$501)+SUMIF('Unos rashoda P4'!$T$3:$T$501,'A.3 RASHODI FUNK'!$A84,'Unos rashoda P4'!I$3:I$501)</f>
        <v>0</v>
      </c>
      <c r="G84" s="347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48267 SVEUČILIŠTE SJEVER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zoomScaleNormal="100" workbookViewId="0">
      <selection activeCell="E17" sqref="E17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6" t="s">
        <v>3883</v>
      </c>
      <c r="B2" s="396"/>
      <c r="C2" s="396"/>
      <c r="D2" s="396"/>
      <c r="E2" s="396"/>
      <c r="F2" s="396"/>
      <c r="G2" s="396"/>
      <c r="H2" s="396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6" t="s">
        <v>3909</v>
      </c>
      <c r="B4" s="396"/>
      <c r="C4" s="396"/>
      <c r="D4" s="396"/>
      <c r="E4" s="396"/>
      <c r="F4" s="396"/>
      <c r="G4" s="396"/>
      <c r="H4" s="396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6" t="s">
        <v>4809</v>
      </c>
      <c r="B6" s="396"/>
      <c r="C6" s="396"/>
      <c r="D6" s="396"/>
      <c r="E6" s="396"/>
      <c r="F6" s="396"/>
      <c r="G6" s="396"/>
      <c r="H6" s="396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7" t="s">
        <v>4778</v>
      </c>
      <c r="B8" s="398"/>
      <c r="C8" s="399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00">
        <v>1</v>
      </c>
      <c r="B9" s="401"/>
      <c r="C9" s="402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1">
        <f t="shared" ref="D10:E10" si="0">SUM(D11:D14)</f>
        <v>0</v>
      </c>
      <c r="E10" s="341">
        <f t="shared" si="0"/>
        <v>0</v>
      </c>
      <c r="F10" s="341">
        <f>SUM(F11:F14)</f>
        <v>0</v>
      </c>
      <c r="G10" s="341">
        <f t="shared" ref="G10:H10" si="1">SUM(G11:G14)</f>
        <v>0</v>
      </c>
      <c r="H10" s="341">
        <f t="shared" si="1"/>
        <v>0</v>
      </c>
      <c r="I10" s="315" t="str">
        <f>'OPĆI DIO'!$C$1</f>
        <v>48267 SVEUČILIŠTE SJEVER</v>
      </c>
    </row>
    <row r="11" spans="1:10">
      <c r="A11" s="261"/>
      <c r="B11" s="262">
        <v>81</v>
      </c>
      <c r="C11" s="262" t="s">
        <v>3903</v>
      </c>
      <c r="D11" s="339">
        <v>0</v>
      </c>
      <c r="E11" s="339">
        <v>0</v>
      </c>
      <c r="F11" s="338">
        <f>SUMIF('Unos prihoda i primitaka'!$L$3:$L$501,$B11,'Unos prihoda i primitaka'!G$3:G$501)</f>
        <v>0</v>
      </c>
      <c r="G11" s="338">
        <f>SUMIF('Unos prihoda i primitaka'!$L$3:$L$501,$B11,'Unos prihoda i primitaka'!H$3:H$501)</f>
        <v>0</v>
      </c>
      <c r="H11" s="338">
        <f>SUMIF('Unos prihoda i primitaka'!$L$3:$L$501,$B11,'Unos prihoda i primitaka'!I$3:I$501)</f>
        <v>0</v>
      </c>
      <c r="I11" s="315" t="str">
        <f>'OPĆI DIO'!$C$1</f>
        <v>48267 SVEUČILIŠTE SJEVER</v>
      </c>
    </row>
    <row r="12" spans="1:10">
      <c r="A12" s="261"/>
      <c r="B12" s="262">
        <v>82</v>
      </c>
      <c r="C12" s="262" t="s">
        <v>3904</v>
      </c>
      <c r="D12" s="339">
        <v>0</v>
      </c>
      <c r="E12" s="339">
        <v>0</v>
      </c>
      <c r="F12" s="338">
        <f>SUMIF('Unos prihoda i primitaka'!$L$3:$L$501,$B12,'Unos prihoda i primitaka'!G$3:G$501)</f>
        <v>0</v>
      </c>
      <c r="G12" s="338">
        <f>SUMIF('Unos prihoda i primitaka'!$L$3:$L$501,$B12,'Unos prihoda i primitaka'!H$3:H$501)</f>
        <v>0</v>
      </c>
      <c r="H12" s="338">
        <f>SUMIF('Unos prihoda i primitaka'!$L$3:$L$501,$B12,'Unos prihoda i primitaka'!I$3:I$501)</f>
        <v>0</v>
      </c>
      <c r="I12" s="315" t="str">
        <f>'OPĆI DIO'!$C$1</f>
        <v>48267 SVEUČILIŠTE SJEVER</v>
      </c>
    </row>
    <row r="13" spans="1:10">
      <c r="A13" s="261"/>
      <c r="B13" s="262">
        <v>83</v>
      </c>
      <c r="C13" s="262" t="s">
        <v>3905</v>
      </c>
      <c r="D13" s="339">
        <v>0</v>
      </c>
      <c r="E13" s="339">
        <v>0</v>
      </c>
      <c r="F13" s="338">
        <f>SUMIF('Unos prihoda i primitaka'!$L$3:$L$501,$B13,'Unos prihoda i primitaka'!G$3:G$501)</f>
        <v>0</v>
      </c>
      <c r="G13" s="338">
        <f>SUMIF('Unos prihoda i primitaka'!$L$3:$L$501,$B13,'Unos prihoda i primitaka'!H$3:H$501)</f>
        <v>0</v>
      </c>
      <c r="H13" s="338">
        <f>SUMIF('Unos prihoda i primitaka'!$L$3:$L$501,$B13,'Unos prihoda i primitaka'!I$3:I$501)</f>
        <v>0</v>
      </c>
      <c r="I13" s="315" t="str">
        <f>'OPĆI DIO'!$C$1</f>
        <v>48267 SVEUČILIŠTE SJEVER</v>
      </c>
    </row>
    <row r="14" spans="1:10">
      <c r="A14" s="261"/>
      <c r="B14" s="262">
        <v>84</v>
      </c>
      <c r="C14" s="262" t="s">
        <v>3906</v>
      </c>
      <c r="D14" s="339">
        <v>0</v>
      </c>
      <c r="E14" s="339">
        <v>0</v>
      </c>
      <c r="F14" s="338">
        <f>SUMIF('Unos prihoda i primitaka'!$L$3:$L$501,$B14,'Unos prihoda i primitaka'!G$3:G$501)</f>
        <v>0</v>
      </c>
      <c r="G14" s="338">
        <f>SUMIF('Unos prihoda i primitaka'!$L$3:$L$501,$B14,'Unos prihoda i primitaka'!H$3:H$501)</f>
        <v>0</v>
      </c>
      <c r="H14" s="338">
        <f>SUMIF('Unos prihoda i primitaka'!$L$3:$L$501,$B14,'Unos prihoda i primitaka'!I$3:I$501)</f>
        <v>0</v>
      </c>
      <c r="I14" s="315" t="str">
        <f>'OPĆI DIO'!$C$1</f>
        <v>48267 SVEUČILIŠTE SJEVER</v>
      </c>
    </row>
    <row r="15" spans="1:10" s="315" customFormat="1">
      <c r="A15" s="263">
        <v>5</v>
      </c>
      <c r="B15" s="264"/>
      <c r="C15" s="265" t="s">
        <v>4811</v>
      </c>
      <c r="D15" s="341">
        <f t="shared" ref="D15:E15" si="2">SUM(D16:D19)</f>
        <v>0</v>
      </c>
      <c r="E15" s="341">
        <f t="shared" si="2"/>
        <v>0</v>
      </c>
      <c r="F15" s="341">
        <f>SUM(F16:F19)</f>
        <v>0</v>
      </c>
      <c r="G15" s="341">
        <f t="shared" ref="G15" si="3">SUM(G16:G19)</f>
        <v>0</v>
      </c>
      <c r="H15" s="341">
        <f t="shared" ref="H15" si="4">SUM(H16:H19)</f>
        <v>0</v>
      </c>
      <c r="I15" s="315" t="str">
        <f>'OPĆI DIO'!$C$1</f>
        <v>48267 SVEUČILIŠTE SJEVER</v>
      </c>
    </row>
    <row r="16" spans="1:10">
      <c r="A16" s="262"/>
      <c r="B16" s="262">
        <v>51</v>
      </c>
      <c r="C16" s="266" t="s">
        <v>253</v>
      </c>
      <c r="D16" s="339">
        <v>0</v>
      </c>
      <c r="E16" s="339">
        <v>0</v>
      </c>
      <c r="F16" s="340">
        <f>SUMIF('Unos rashoda i izdataka'!$P$3:$P$501,$B16,'Unos rashoda i izdataka'!J$3:J$501)+SUMIF('Unos rashoda P4'!$S$3:$S$501,$B16,'Unos rashoda P4'!H$3:H$501)</f>
        <v>0</v>
      </c>
      <c r="G16" s="340">
        <f>SUMIF('Unos rashoda i izdataka'!$P$3:$P$501,$B16,'Unos rashoda i izdataka'!K$3:K$501)+SUMIF('Unos rashoda P4'!$S$3:$S$501,$B16,'Unos rashoda P4'!I$3:I$501)</f>
        <v>0</v>
      </c>
      <c r="H16" s="340">
        <f>SUMIF('Unos rashoda i izdataka'!$P$3:$P$501,$B16,'Unos rashoda i izdataka'!L$3:L$501)+SUMIF('Unos rashoda P4'!$S$3:$S$501,$B16,'Unos rashoda P4'!J$3:J$501)</f>
        <v>0</v>
      </c>
      <c r="I16" s="315" t="str">
        <f>'OPĆI DIO'!$C$1</f>
        <v>48267 SVEUČILIŠTE SJEVER</v>
      </c>
    </row>
    <row r="17" spans="1:9" ht="25.5">
      <c r="A17" s="262"/>
      <c r="B17" s="262">
        <v>54</v>
      </c>
      <c r="C17" s="266" t="s">
        <v>254</v>
      </c>
      <c r="D17" s="339">
        <v>0</v>
      </c>
      <c r="E17" s="339">
        <v>0</v>
      </c>
      <c r="F17" s="340">
        <f>SUMIF('Unos rashoda i izdataka'!$P$3:$P$501,$B17,'Unos rashoda i izdataka'!J$3:J$501)+SUMIF('Unos rashoda P4'!$S$3:$S$501,$B17,'Unos rashoda P4'!H$3:H$501)</f>
        <v>0</v>
      </c>
      <c r="G17" s="340">
        <f>SUMIF('Unos rashoda i izdataka'!$P$3:$P$501,$B17,'Unos rashoda i izdataka'!K$3:K$501)+SUMIF('Unos rashoda P4'!$S$3:$S$501,$B17,'Unos rashoda P4'!I$3:I$501)</f>
        <v>0</v>
      </c>
      <c r="H17" s="340">
        <f>SUMIF('Unos rashoda i izdataka'!$P$3:$P$501,$B17,'Unos rashoda i izdataka'!L$3:L$501)+SUMIF('Unos rashoda P4'!$S$3:$S$501,$B17,'Unos rashoda P4'!J$3:J$501)</f>
        <v>0</v>
      </c>
      <c r="I17" s="315" t="str">
        <f>'OPĆI DIO'!$C$1</f>
        <v>48267 SVEUČILIŠTE SJEVER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tabSelected="1" zoomScaleNormal="100" workbookViewId="0">
      <selection activeCell="C8" sqref="C8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6" t="s">
        <v>4812</v>
      </c>
      <c r="C2" s="396"/>
      <c r="D2" s="396"/>
      <c r="E2" s="396"/>
      <c r="F2" s="396"/>
      <c r="G2" s="396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5" t="s">
        <v>4813</v>
      </c>
      <c r="C6" s="343">
        <f>C8+C11+C14</f>
        <v>0</v>
      </c>
      <c r="D6" s="343">
        <f>D8+D11+D14</f>
        <v>0</v>
      </c>
      <c r="E6" s="343">
        <f>+E7+E10</f>
        <v>0</v>
      </c>
      <c r="F6" s="343">
        <f t="shared" ref="F6:G6" si="0">+F7+F10</f>
        <v>0</v>
      </c>
      <c r="G6" s="343">
        <f t="shared" si="0"/>
        <v>0</v>
      </c>
      <c r="H6" s="315" t="str">
        <f>'OPĆI DIO'!$C$1</f>
        <v>48267 SVEUČILIŠTE SJEVER</v>
      </c>
    </row>
    <row r="7" spans="1:9" s="344" customFormat="1">
      <c r="A7" s="344">
        <v>43</v>
      </c>
      <c r="B7" s="342" t="s">
        <v>4816</v>
      </c>
      <c r="C7" s="345">
        <f>C8</f>
        <v>0</v>
      </c>
      <c r="D7" s="345">
        <f t="shared" ref="D7" si="1">D8</f>
        <v>0</v>
      </c>
      <c r="E7" s="345">
        <f>E8+E9</f>
        <v>0</v>
      </c>
      <c r="F7" s="345">
        <f t="shared" ref="F7:G7" si="2">F8+F9</f>
        <v>0</v>
      </c>
      <c r="G7" s="345">
        <f t="shared" si="2"/>
        <v>0</v>
      </c>
      <c r="H7" s="315" t="str">
        <f>'OPĆI DIO'!$C$1</f>
        <v>48267 SVEUČILIŠTE SJEVER</v>
      </c>
    </row>
    <row r="8" spans="1:9" s="281" customFormat="1">
      <c r="A8" s="281">
        <v>81</v>
      </c>
      <c r="B8" s="278" t="s">
        <v>4794</v>
      </c>
      <c r="C8" s="370">
        <v>0</v>
      </c>
      <c r="D8" s="370">
        <v>0</v>
      </c>
      <c r="E8" s="338">
        <f>SUMIF('Unos prihoda i primitaka'!$L$3:$L$501,$A8,'Unos prihoda i primitaka'!G$3:G$501)</f>
        <v>0</v>
      </c>
      <c r="F8" s="338">
        <f>SUMIF('Unos prihoda i primitaka'!$L$3:$L$501,$A8,'Unos prihoda i primitaka'!H$3:H$501)</f>
        <v>0</v>
      </c>
      <c r="G8" s="338">
        <f>SUMIF('Unos prihoda i primitaka'!$L$3:$L$501,$A8,'Unos prihoda i primitaka'!I$3:I$501)</f>
        <v>0</v>
      </c>
      <c r="H8" s="315" t="str">
        <f>'OPĆI DIO'!$C$1</f>
        <v>48267 SVEUČILIŠTE SJEVER</v>
      </c>
    </row>
    <row r="9" spans="1:9" s="281" customFormat="1">
      <c r="A9" s="281">
        <v>83</v>
      </c>
      <c r="B9" s="278" t="s">
        <v>4794</v>
      </c>
      <c r="C9" s="370">
        <v>0</v>
      </c>
      <c r="D9" s="370">
        <v>0</v>
      </c>
      <c r="E9" s="338">
        <f>SUMIF('Unos prihoda i primitaka'!$L$3:$L$501,$A9,'Unos prihoda i primitaka'!G$3:G$501)</f>
        <v>0</v>
      </c>
      <c r="F9" s="338">
        <f>SUMIF('Unos prihoda i primitaka'!$L$3:$L$501,$A9,'Unos prihoda i primitaka'!H$3:H$501)</f>
        <v>0</v>
      </c>
      <c r="G9" s="338">
        <f>SUMIF('Unos prihoda i primitaka'!$L$3:$L$501,$A9,'Unos prihoda i primitaka'!I$3:I$501)</f>
        <v>0</v>
      </c>
      <c r="H9" s="315" t="str">
        <f>'OPĆI DIO'!$C$1</f>
        <v>48267 SVEUČILIŠTE SJEVER</v>
      </c>
    </row>
    <row r="10" spans="1:9" s="346" customFormat="1">
      <c r="A10" s="346">
        <v>81</v>
      </c>
      <c r="B10" s="277" t="s">
        <v>4808</v>
      </c>
      <c r="C10" s="345">
        <f>C11</f>
        <v>0</v>
      </c>
      <c r="D10" s="345">
        <f t="shared" ref="D10" si="3">D11</f>
        <v>0</v>
      </c>
      <c r="E10" s="345">
        <f>E11</f>
        <v>0</v>
      </c>
      <c r="F10" s="345">
        <f t="shared" ref="F10" si="4">F11</f>
        <v>0</v>
      </c>
      <c r="G10" s="345">
        <f t="shared" ref="G10" si="5">G11</f>
        <v>0</v>
      </c>
      <c r="H10" s="315" t="str">
        <f>'OPĆI DIO'!$C$1</f>
        <v>48267 SVEUČILIŠTE SJEVER</v>
      </c>
    </row>
    <row r="11" spans="1:9" s="281" customFormat="1">
      <c r="A11" s="281">
        <v>84</v>
      </c>
      <c r="B11" s="278" t="s">
        <v>4808</v>
      </c>
      <c r="C11" s="370">
        <v>0</v>
      </c>
      <c r="D11" s="370">
        <v>0</v>
      </c>
      <c r="E11" s="338">
        <f>SUMIF('Unos prihoda i primitaka'!$L$3:$L$501,$A11,'Unos prihoda i primitaka'!G$3:G$501)</f>
        <v>0</v>
      </c>
      <c r="F11" s="338">
        <f>SUMIF('Unos prihoda i primitaka'!$L$3:$L$501,$A11,'Unos prihoda i primitaka'!H$3:H$501)</f>
        <v>0</v>
      </c>
      <c r="G11" s="338">
        <f>SUMIF('Unos prihoda i primitaka'!$L$3:$L$501,$A11,'Unos prihoda i primitaka'!I$3:I$501)</f>
        <v>0</v>
      </c>
      <c r="H11" s="315" t="str">
        <f>'OPĆI DIO'!$C$1</f>
        <v>48267 SVEUČILIŠTE SJEVER</v>
      </c>
    </row>
    <row r="12" spans="1:9" s="98" customFormat="1">
      <c r="B12" s="355" t="s">
        <v>4814</v>
      </c>
      <c r="C12" s="356">
        <f>C13</f>
        <v>0</v>
      </c>
      <c r="D12" s="356">
        <f t="shared" ref="D12:G12" si="6">D13</f>
        <v>0</v>
      </c>
      <c r="E12" s="356">
        <f t="shared" si="6"/>
        <v>0</v>
      </c>
      <c r="F12" s="356">
        <f t="shared" si="6"/>
        <v>0</v>
      </c>
      <c r="G12" s="356">
        <f t="shared" si="6"/>
        <v>0</v>
      </c>
      <c r="H12" s="315" t="str">
        <f>'OPĆI DIO'!$C$1</f>
        <v>48267 SVEUČILIŠTE SJEVER</v>
      </c>
    </row>
    <row r="13" spans="1:9" s="344" customFormat="1">
      <c r="B13" s="342" t="s">
        <v>4791</v>
      </c>
      <c r="C13" s="345">
        <f>C14</f>
        <v>0</v>
      </c>
      <c r="D13" s="345">
        <f t="shared" ref="D13" si="7">D14</f>
        <v>0</v>
      </c>
      <c r="E13" s="345">
        <f t="shared" ref="E13" si="8">E14</f>
        <v>0</v>
      </c>
      <c r="F13" s="345">
        <f t="shared" ref="F13" si="9">F14</f>
        <v>0</v>
      </c>
      <c r="G13" s="345">
        <f t="shared" ref="G13" si="10">G14</f>
        <v>0</v>
      </c>
      <c r="H13" s="315" t="str">
        <f>'OPĆI DIO'!$C$1</f>
        <v>48267 SVEUČILIŠTE SJEVER</v>
      </c>
    </row>
    <row r="14" spans="1:9" s="281" customFormat="1">
      <c r="A14" s="281">
        <v>5</v>
      </c>
      <c r="B14" s="278" t="s">
        <v>4791</v>
      </c>
      <c r="C14" s="370">
        <v>0</v>
      </c>
      <c r="D14" s="370">
        <v>0</v>
      </c>
      <c r="E14" s="338">
        <f>SUMIF('Unos rashoda i izdataka'!$S$3:$S$501,$A14,'Unos rashoda i izdataka'!J$3:J$501)+SUMIF('Unos rashoda P4'!$U$3:$U$501,$A14,'Unos rashoda P4'!H$3:H$501)</f>
        <v>0</v>
      </c>
      <c r="F14" s="338">
        <f>SUMIF('Unos rashoda i izdataka'!$S$3:$S$501,$A14,'Unos rashoda i izdataka'!K$3:K$501)+SUMIF('Unos rashoda P4'!$U$3:$U$501,$A14,'Unos rashoda P4'!I$3:I$501)</f>
        <v>0</v>
      </c>
      <c r="G14" s="338">
        <f>SUMIF('Unos rashoda i izdataka'!$S$3:$S$501,$A14,'Unos rashoda i izdataka'!L$3:L$501)+SUMIF('Unos rashoda P4'!$U$3:$U$501,$A14,'Unos rashoda P4'!J$3:J$501)</f>
        <v>0</v>
      </c>
      <c r="H14" s="315" t="str">
        <f>'OPĆI DIO'!$C$1</f>
        <v>48267 SVEUČILIŠTE SJEVER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workbookViewId="0">
      <selection activeCell="B6" sqref="B6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649" activePane="bottomRight" state="frozen"/>
      <selection pane="topRight" activeCell="B1" sqref="B1"/>
      <selection pane="bottomLeft" activeCell="A4" sqref="A4"/>
      <selection pane="bottomRight" activeCell="B670" sqref="B670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 xr:uid="{00000000-0009-0000-0000-00000B000000}"/>
  <pageMargins left="0.7" right="0.7" top="0.75" bottom="0.75" header="0.3" footer="0.3"/>
  <pageSetup paperSize="9" scale="4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3" t="s">
        <v>2339</v>
      </c>
      <c r="B1" s="403"/>
      <c r="C1" s="403"/>
      <c r="D1" s="403"/>
      <c r="E1" s="403"/>
      <c r="F1" s="403"/>
      <c r="G1" s="403"/>
      <c r="H1" s="403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4" t="s">
        <v>3877</v>
      </c>
      <c r="B615" s="404"/>
      <c r="C615" s="404"/>
      <c r="D615" s="404"/>
      <c r="E615" s="404"/>
      <c r="F615" s="404"/>
      <c r="G615" s="404"/>
      <c r="H615" s="404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15</vt:i4>
      </vt:variant>
    </vt:vector>
  </HeadingPairs>
  <TitlesOfParts>
    <vt:vector size="29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'B.1 RAČUN FINANC EK'!Podrucje_ispisa</vt:lpstr>
      <vt:lpstr>'B.2 RAČUN FINANC IF'!Podrucje_ispisa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mklicek</cp:lastModifiedBy>
  <cp:lastPrinted>2024-02-02T13:06:33Z</cp:lastPrinted>
  <dcterms:created xsi:type="dcterms:W3CDTF">2018-09-10T07:36:17Z</dcterms:created>
  <dcterms:modified xsi:type="dcterms:W3CDTF">2024-02-02T13:06:38Z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