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mklicek\Desktop\Polugodišnji izvještaj o izvršenju FP 2023\Za slanje MZO\"/>
    </mc:Choice>
  </mc:AlternateContent>
  <xr:revisionPtr revIDLastSave="0" documentId="13_ncr:1_{6DAE7E4F-86B6-4EB9-BD2D-1F446E8E4102}" xr6:coauthVersionLast="37" xr6:coauthVersionMax="37" xr10:uidLastSave="{00000000-0000-0000-0000-000000000000}"/>
  <bookViews>
    <workbookView xWindow="0" yWindow="0" windowWidth="28800" windowHeight="10425" tabRatio="894" firstSheet="2" activeTab="3" xr2:uid="{00000000-000D-0000-FFFF-FFFF00000000}"/>
  </bookViews>
  <sheets>
    <sheet name="Sheet1" sheetId="1" state="hidden" r:id="rId1"/>
    <sheet name="Sheet 2" sheetId="2" state="hidden" r:id="rId2"/>
    <sheet name="1-OPĆI DIO" sheetId="8" r:id="rId3"/>
    <sheet name="2-PRIHODI" sheetId="9" r:id="rId4"/>
    <sheet name="3-RASHODI" sheetId="14" r:id="rId5"/>
    <sheet name="4-PRIHODI (PO IZVORIMA FIN.)" sheetId="7" r:id="rId6"/>
    <sheet name="5-RASHODI (PO IZVORIMA FIN.)" sheetId="13" r:id="rId7"/>
    <sheet name="6-RASHODI (AKTIVNOST I IZVOR)" sheetId="15" r:id="rId8"/>
    <sheet name="7-RAČUN FINANCIRANJA" sheetId="16" r:id="rId9"/>
  </sheets>
  <definedNames>
    <definedName name="_xlnm.Print_Area" localSheetId="6">'5-RASHODI (PO IZVORIMA FIN.)'!$A$1:$G$208</definedName>
    <definedName name="_xlnm.Print_Area" localSheetId="7">'6-RASHODI (AKTIVNOST I IZVOR)'!$A$1:$G$154</definedName>
    <definedName name="_xlnm.Print_Area" localSheetId="8">'7-RAČUN FINANCIRANJA'!$A$1:$G$67</definedName>
  </definedNames>
  <calcPr calcId="179021"/>
  <pivotCaches>
    <pivotCache cacheId="0" r:id="rId10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15" l="1"/>
  <c r="F63" i="15"/>
  <c r="F46" i="15"/>
  <c r="F38" i="15"/>
  <c r="F10" i="15"/>
  <c r="F117" i="15"/>
  <c r="E154" i="13"/>
  <c r="E151" i="13"/>
  <c r="F149" i="13"/>
  <c r="F80" i="13"/>
  <c r="F138" i="13"/>
  <c r="F123" i="13"/>
  <c r="F120" i="13"/>
  <c r="F113" i="13"/>
  <c r="F108" i="13"/>
  <c r="F43" i="13"/>
  <c r="F30" i="13"/>
  <c r="F27" i="13"/>
  <c r="F57" i="13"/>
  <c r="F72" i="13"/>
  <c r="F46" i="13"/>
  <c r="F10" i="13"/>
  <c r="E10" i="13"/>
  <c r="D10" i="13"/>
  <c r="E12" i="13"/>
  <c r="E81" i="13"/>
  <c r="E22" i="14"/>
  <c r="F11" i="14"/>
  <c r="D11" i="14"/>
  <c r="G13" i="14"/>
  <c r="D12" i="14"/>
  <c r="G12" i="14"/>
  <c r="D13" i="14"/>
  <c r="F77" i="15" l="1"/>
  <c r="G95" i="15"/>
  <c r="D95" i="15"/>
  <c r="G127" i="15"/>
  <c r="D127" i="15"/>
  <c r="G125" i="15"/>
  <c r="D125" i="15"/>
  <c r="G183" i="13"/>
  <c r="D183" i="13"/>
  <c r="G128" i="13"/>
  <c r="G127" i="13"/>
  <c r="G126" i="13"/>
  <c r="D127" i="13"/>
  <c r="D128" i="13"/>
  <c r="D126" i="13"/>
  <c r="G56" i="13"/>
  <c r="D56" i="13"/>
  <c r="G20" i="13"/>
  <c r="D20" i="13"/>
  <c r="D156" i="13"/>
  <c r="D25" i="7"/>
  <c r="D44" i="9"/>
  <c r="D45" i="9"/>
  <c r="D46" i="9"/>
  <c r="D43" i="9"/>
  <c r="E77" i="15" l="1"/>
  <c r="C77" i="15"/>
  <c r="D78" i="15"/>
  <c r="E98" i="15"/>
  <c r="C26" i="8" l="1"/>
  <c r="C25" i="8"/>
  <c r="D144" i="15"/>
  <c r="D142" i="15" s="1"/>
  <c r="D141" i="15" s="1"/>
  <c r="D145" i="15"/>
  <c r="D146" i="15"/>
  <c r="D147" i="15"/>
  <c r="D148" i="15"/>
  <c r="D149" i="15"/>
  <c r="D143" i="15"/>
  <c r="D140" i="15"/>
  <c r="D137" i="15" s="1"/>
  <c r="D118" i="15"/>
  <c r="D119" i="15"/>
  <c r="D120" i="15"/>
  <c r="D121" i="15"/>
  <c r="D122" i="15"/>
  <c r="D123" i="15"/>
  <c r="D124" i="15"/>
  <c r="D126" i="15"/>
  <c r="D128" i="15"/>
  <c r="D129" i="15"/>
  <c r="D130" i="15"/>
  <c r="D131" i="15"/>
  <c r="D132" i="15"/>
  <c r="D133" i="15"/>
  <c r="D134" i="15"/>
  <c r="D135" i="15"/>
  <c r="D136" i="15"/>
  <c r="D117" i="15"/>
  <c r="D111" i="15"/>
  <c r="D112" i="15"/>
  <c r="D113" i="15"/>
  <c r="D114" i="15"/>
  <c r="D110" i="15"/>
  <c r="D88" i="15"/>
  <c r="D89" i="15"/>
  <c r="D90" i="15"/>
  <c r="D91" i="15"/>
  <c r="D92" i="15"/>
  <c r="D93" i="15"/>
  <c r="D94" i="15"/>
  <c r="D96" i="15"/>
  <c r="D97" i="15"/>
  <c r="D98" i="15"/>
  <c r="D99" i="15"/>
  <c r="D100" i="15"/>
  <c r="D101" i="15"/>
  <c r="D102" i="15"/>
  <c r="D103" i="15"/>
  <c r="D104" i="15"/>
  <c r="D105" i="15"/>
  <c r="D106" i="15"/>
  <c r="D107" i="15"/>
  <c r="D108" i="15"/>
  <c r="D87" i="15"/>
  <c r="D80" i="15"/>
  <c r="D81" i="15"/>
  <c r="D82" i="15"/>
  <c r="D83" i="15"/>
  <c r="D84" i="15"/>
  <c r="D79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63" i="15"/>
  <c r="D64" i="15"/>
  <c r="D65" i="15"/>
  <c r="D66" i="15"/>
  <c r="D67" i="15"/>
  <c r="D68" i="15"/>
  <c r="D69" i="15"/>
  <c r="D70" i="15"/>
  <c r="D71" i="15"/>
  <c r="D72" i="15"/>
  <c r="D73" i="15"/>
  <c r="D74" i="15"/>
  <c r="D75" i="15"/>
  <c r="D76" i="15"/>
  <c r="D38" i="15"/>
  <c r="D33" i="15"/>
  <c r="D34" i="15"/>
  <c r="D35" i="15"/>
  <c r="D32" i="15"/>
  <c r="D28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10" i="15"/>
  <c r="E137" i="13"/>
  <c r="F137" i="13"/>
  <c r="C137" i="13"/>
  <c r="G154" i="13"/>
  <c r="D154" i="13"/>
  <c r="E149" i="13"/>
  <c r="E141" i="13"/>
  <c r="E123" i="13"/>
  <c r="E110" i="13"/>
  <c r="D107" i="13"/>
  <c r="E99" i="13"/>
  <c r="E96" i="13"/>
  <c r="E94" i="13"/>
  <c r="E92" i="13"/>
  <c r="E91" i="13"/>
  <c r="E90" i="13"/>
  <c r="E89" i="13"/>
  <c r="E87" i="13"/>
  <c r="E86" i="13"/>
  <c r="E84" i="13"/>
  <c r="E83" i="13"/>
  <c r="E82" i="13"/>
  <c r="E77" i="13"/>
  <c r="E75" i="13"/>
  <c r="E59" i="13"/>
  <c r="E57" i="13"/>
  <c r="E53" i="13"/>
  <c r="E52" i="13"/>
  <c r="G40" i="13"/>
  <c r="E30" i="13"/>
  <c r="E27" i="13"/>
  <c r="E26" i="13"/>
  <c r="E24" i="13"/>
  <c r="E22" i="13"/>
  <c r="E21" i="13"/>
  <c r="E17" i="13"/>
  <c r="E14" i="13"/>
  <c r="E84" i="14"/>
  <c r="E80" i="14"/>
  <c r="E17" i="14"/>
  <c r="E60" i="14"/>
  <c r="E42" i="14"/>
  <c r="E20" i="14"/>
  <c r="E45" i="14"/>
  <c r="E77" i="14"/>
  <c r="E72" i="14"/>
  <c r="E71" i="14"/>
  <c r="E47" i="14"/>
  <c r="E44" i="14"/>
  <c r="E40" i="14"/>
  <c r="E36" i="14"/>
  <c r="E35" i="14"/>
  <c r="E33" i="14"/>
  <c r="E32" i="14"/>
  <c r="E28" i="14"/>
  <c r="E27" i="14"/>
  <c r="E21" i="14"/>
  <c r="E34" i="14"/>
  <c r="E26" i="14"/>
  <c r="E46" i="14"/>
  <c r="E39" i="7"/>
  <c r="E21" i="7"/>
  <c r="E12" i="7"/>
  <c r="C12" i="7"/>
  <c r="D116" i="15" l="1"/>
  <c r="D115" i="15" s="1"/>
  <c r="D9" i="15"/>
  <c r="D8" i="15" s="1"/>
  <c r="D86" i="15"/>
  <c r="D109" i="15"/>
  <c r="D77" i="15"/>
  <c r="D37" i="15"/>
  <c r="D31" i="15"/>
  <c r="D30" i="15" s="1"/>
  <c r="E42" i="9"/>
  <c r="E38" i="9"/>
  <c r="E21" i="9"/>
  <c r="E35" i="9"/>
  <c r="E32" i="9"/>
  <c r="D85" i="15" l="1"/>
  <c r="D36" i="15"/>
  <c r="D150" i="15" s="1"/>
  <c r="D36" i="16"/>
  <c r="D35" i="16" s="1"/>
  <c r="D9" i="16"/>
  <c r="D8" i="16"/>
  <c r="E137" i="15"/>
  <c r="D204" i="13"/>
  <c r="D203" i="13"/>
  <c r="D202" i="13"/>
  <c r="D201" i="13" s="1"/>
  <c r="D200" i="13"/>
  <c r="D197" i="13" s="1"/>
  <c r="D181" i="13"/>
  <c r="D182" i="13"/>
  <c r="D184" i="13"/>
  <c r="D185" i="13"/>
  <c r="D186" i="13"/>
  <c r="D179" i="13" s="1"/>
  <c r="D178" i="13" s="1"/>
  <c r="D187" i="13"/>
  <c r="D188" i="13"/>
  <c r="D189" i="13"/>
  <c r="D190" i="13"/>
  <c r="D191" i="13"/>
  <c r="D192" i="13"/>
  <c r="D193" i="13"/>
  <c r="D194" i="13"/>
  <c r="D195" i="13"/>
  <c r="D196" i="13"/>
  <c r="D180" i="13"/>
  <c r="D175" i="13"/>
  <c r="D168" i="13"/>
  <c r="D169" i="13"/>
  <c r="D170" i="13"/>
  <c r="D171" i="13"/>
  <c r="D172" i="13"/>
  <c r="D173" i="13"/>
  <c r="D174" i="13"/>
  <c r="D167" i="13"/>
  <c r="D158" i="13"/>
  <c r="D159" i="13"/>
  <c r="D157" i="13"/>
  <c r="D139" i="13"/>
  <c r="D140" i="13"/>
  <c r="D141" i="13"/>
  <c r="D142" i="13"/>
  <c r="D143" i="13"/>
  <c r="D144" i="13"/>
  <c r="D145" i="13"/>
  <c r="D146" i="13"/>
  <c r="D147" i="13"/>
  <c r="D148" i="13"/>
  <c r="D149" i="13"/>
  <c r="D150" i="13"/>
  <c r="D151" i="13"/>
  <c r="D152" i="13"/>
  <c r="D153" i="13"/>
  <c r="D138" i="13"/>
  <c r="D121" i="13"/>
  <c r="D122" i="13"/>
  <c r="D123" i="13"/>
  <c r="D124" i="13"/>
  <c r="D125" i="13"/>
  <c r="D129" i="13"/>
  <c r="D130" i="13"/>
  <c r="D131" i="13"/>
  <c r="D132" i="13"/>
  <c r="D133" i="13"/>
  <c r="D120" i="13"/>
  <c r="D109" i="13"/>
  <c r="D110" i="13"/>
  <c r="D111" i="13"/>
  <c r="D112" i="13"/>
  <c r="D113" i="13"/>
  <c r="D108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D72" i="13"/>
  <c r="D69" i="13"/>
  <c r="D66" i="13"/>
  <c r="D65" i="13"/>
  <c r="D47" i="13"/>
  <c r="D48" i="13"/>
  <c r="D49" i="13"/>
  <c r="D50" i="13"/>
  <c r="D51" i="13"/>
  <c r="D52" i="13"/>
  <c r="D53" i="13"/>
  <c r="D54" i="13"/>
  <c r="D55" i="13"/>
  <c r="D57" i="13"/>
  <c r="D58" i="13"/>
  <c r="D59" i="13"/>
  <c r="D60" i="13"/>
  <c r="D61" i="13"/>
  <c r="D62" i="13"/>
  <c r="D63" i="13"/>
  <c r="D64" i="13"/>
  <c r="D46" i="13"/>
  <c r="D41" i="13"/>
  <c r="D42" i="13"/>
  <c r="D43" i="13"/>
  <c r="D39" i="13"/>
  <c r="D11" i="13"/>
  <c r="D12" i="13"/>
  <c r="D13" i="13"/>
  <c r="D14" i="13"/>
  <c r="D15" i="13"/>
  <c r="D16" i="13"/>
  <c r="D17" i="13"/>
  <c r="D18" i="13"/>
  <c r="D19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74" i="14"/>
  <c r="D84" i="14"/>
  <c r="D83" i="14" s="1"/>
  <c r="D78" i="14"/>
  <c r="D79" i="14"/>
  <c r="D80" i="14"/>
  <c r="D77" i="14"/>
  <c r="D75" i="14"/>
  <c r="D72" i="14"/>
  <c r="D71" i="14"/>
  <c r="D70" i="14" s="1"/>
  <c r="D69" i="14" s="1"/>
  <c r="D67" i="14"/>
  <c r="D66" i="14" s="1"/>
  <c r="D65" i="14"/>
  <c r="D64" i="14" s="1"/>
  <c r="D63" i="14"/>
  <c r="D62" i="14" s="1"/>
  <c r="D60" i="14"/>
  <c r="D59" i="14" s="1"/>
  <c r="D58" i="14" s="1"/>
  <c r="D57" i="14"/>
  <c r="D56" i="14" s="1"/>
  <c r="D55" i="14" s="1"/>
  <c r="D53" i="14"/>
  <c r="D54" i="14"/>
  <c r="D52" i="14"/>
  <c r="D51" i="14" s="1"/>
  <c r="D50" i="14" s="1"/>
  <c r="D45" i="14"/>
  <c r="D46" i="14"/>
  <c r="D47" i="14"/>
  <c r="D48" i="14"/>
  <c r="D49" i="14"/>
  <c r="D44" i="14"/>
  <c r="D42" i="14"/>
  <c r="D41" i="14" s="1"/>
  <c r="D33" i="14"/>
  <c r="D34" i="14"/>
  <c r="D35" i="14"/>
  <c r="D36" i="14"/>
  <c r="D37" i="14"/>
  <c r="D38" i="14"/>
  <c r="D39" i="14"/>
  <c r="D40" i="14"/>
  <c r="D32" i="14"/>
  <c r="D26" i="14"/>
  <c r="D27" i="14"/>
  <c r="D28" i="14"/>
  <c r="D29" i="14"/>
  <c r="D30" i="14"/>
  <c r="D25" i="14"/>
  <c r="D21" i="14"/>
  <c r="D22" i="14"/>
  <c r="D23" i="14"/>
  <c r="D20" i="14"/>
  <c r="D17" i="14"/>
  <c r="D16" i="14" s="1"/>
  <c r="D15" i="14"/>
  <c r="D14" i="14" s="1"/>
  <c r="D10" i="14"/>
  <c r="D42" i="7"/>
  <c r="D41" i="7" s="1"/>
  <c r="D38" i="7"/>
  <c r="D28" i="7"/>
  <c r="D26" i="7"/>
  <c r="D16" i="7"/>
  <c r="D11" i="7"/>
  <c r="D44" i="7"/>
  <c r="D43" i="7"/>
  <c r="D40" i="7"/>
  <c r="D39" i="7"/>
  <c r="D30" i="7"/>
  <c r="D31" i="7"/>
  <c r="D32" i="7"/>
  <c r="D33" i="7"/>
  <c r="D34" i="7"/>
  <c r="D35" i="7"/>
  <c r="D29" i="7"/>
  <c r="D27" i="7"/>
  <c r="D24" i="7"/>
  <c r="D23" i="7" s="1"/>
  <c r="D18" i="7"/>
  <c r="D19" i="7"/>
  <c r="D20" i="7"/>
  <c r="D21" i="7"/>
  <c r="D22" i="7"/>
  <c r="D17" i="7"/>
  <c r="D12" i="7"/>
  <c r="D10" i="7"/>
  <c r="D9" i="7" s="1"/>
  <c r="C18" i="8"/>
  <c r="D49" i="9"/>
  <c r="D48" i="9" s="1"/>
  <c r="D47" i="9" s="1"/>
  <c r="D37" i="9"/>
  <c r="D34" i="9"/>
  <c r="D33" i="9"/>
  <c r="D31" i="9"/>
  <c r="D30" i="9" s="1"/>
  <c r="D24" i="9"/>
  <c r="D20" i="9"/>
  <c r="D18" i="9"/>
  <c r="D16" i="9"/>
  <c r="D12" i="9"/>
  <c r="D9" i="9" s="1"/>
  <c r="D10" i="9"/>
  <c r="D51" i="9"/>
  <c r="D50" i="9"/>
  <c r="D42" i="9"/>
  <c r="D41" i="9" s="1"/>
  <c r="D40" i="9" s="1"/>
  <c r="D39" i="9"/>
  <c r="D38" i="9"/>
  <c r="D36" i="9"/>
  <c r="D35" i="9"/>
  <c r="D32" i="9"/>
  <c r="D29" i="9"/>
  <c r="D28" i="9" s="1"/>
  <c r="D23" i="9" s="1"/>
  <c r="D27" i="9"/>
  <c r="D26" i="9"/>
  <c r="D25" i="9"/>
  <c r="D22" i="9"/>
  <c r="D21" i="9"/>
  <c r="D19" i="9"/>
  <c r="D17" i="9"/>
  <c r="D13" i="9"/>
  <c r="D11" i="9"/>
  <c r="C16" i="9"/>
  <c r="D19" i="14" l="1"/>
  <c r="D43" i="14"/>
  <c r="D31" i="14"/>
  <c r="D24" i="14"/>
  <c r="D76" i="14"/>
  <c r="D73" i="14" s="1"/>
  <c r="D68" i="14" s="1"/>
  <c r="C21" i="8" s="1"/>
  <c r="D9" i="14"/>
  <c r="D155" i="13"/>
  <c r="D137" i="13"/>
  <c r="D119" i="13"/>
  <c r="D118" i="13" s="1"/>
  <c r="D45" i="13"/>
  <c r="D44" i="13" s="1"/>
  <c r="D161" i="13"/>
  <c r="D160" i="13" s="1"/>
  <c r="D61" i="14"/>
  <c r="D8" i="9"/>
  <c r="D38" i="13"/>
  <c r="D71" i="13"/>
  <c r="D136" i="13"/>
  <c r="D106" i="13"/>
  <c r="D9" i="13"/>
  <c r="D8" i="7"/>
  <c r="D45" i="7" s="1"/>
  <c r="D62" i="16"/>
  <c r="F116" i="15"/>
  <c r="C116" i="15"/>
  <c r="G79" i="15"/>
  <c r="G111" i="15"/>
  <c r="G105" i="15"/>
  <c r="D18" i="14" l="1"/>
  <c r="D8" i="14" s="1"/>
  <c r="D70" i="13"/>
  <c r="D8" i="13"/>
  <c r="D52" i="9"/>
  <c r="C17" i="8"/>
  <c r="C16" i="8" s="1"/>
  <c r="E175" i="13"/>
  <c r="F175" i="13"/>
  <c r="C175" i="13"/>
  <c r="G103" i="15"/>
  <c r="C38" i="13"/>
  <c r="E155" i="13"/>
  <c r="F155" i="13"/>
  <c r="C155" i="13"/>
  <c r="G159" i="13"/>
  <c r="G157" i="13"/>
  <c r="D205" i="13" l="1"/>
  <c r="C20" i="8"/>
  <c r="D89" i="14"/>
  <c r="G61" i="16"/>
  <c r="G60" i="16"/>
  <c r="G59" i="16"/>
  <c r="G58" i="16"/>
  <c r="G57" i="16"/>
  <c r="G56" i="16"/>
  <c r="G55" i="16"/>
  <c r="G54" i="16"/>
  <c r="G53" i="16"/>
  <c r="G52" i="16"/>
  <c r="G51" i="16"/>
  <c r="G50" i="16"/>
  <c r="G49" i="16"/>
  <c r="G48" i="16"/>
  <c r="G47" i="16"/>
  <c r="G46" i="16"/>
  <c r="G45" i="16"/>
  <c r="G44" i="16"/>
  <c r="G43" i="16"/>
  <c r="G42" i="16"/>
  <c r="G41" i="16"/>
  <c r="G40" i="16"/>
  <c r="G39" i="16"/>
  <c r="G38" i="16"/>
  <c r="G37" i="16"/>
  <c r="E36" i="16"/>
  <c r="G36" i="16" s="1"/>
  <c r="C36" i="16"/>
  <c r="C35" i="16" s="1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F9" i="16"/>
  <c r="F8" i="16" s="1"/>
  <c r="E9" i="16"/>
  <c r="G9" i="16" s="1"/>
  <c r="C9" i="16"/>
  <c r="E8" i="16"/>
  <c r="G8" i="16" s="1"/>
  <c r="F36" i="16" l="1"/>
  <c r="F35" i="16" s="1"/>
  <c r="E35" i="16"/>
  <c r="G35" i="16" s="1"/>
  <c r="F62" i="16"/>
  <c r="C8" i="16"/>
  <c r="E62" i="16"/>
  <c r="G62" i="16" s="1"/>
  <c r="G32" i="7"/>
  <c r="E10" i="9"/>
  <c r="E16" i="9"/>
  <c r="E14" i="9"/>
  <c r="E45" i="9"/>
  <c r="E44" i="9" s="1"/>
  <c r="G44" i="9" s="1"/>
  <c r="F14" i="9"/>
  <c r="F45" i="9"/>
  <c r="F44" i="9"/>
  <c r="F19" i="14"/>
  <c r="F31" i="14"/>
  <c r="F51" i="14"/>
  <c r="F50" i="14" s="1"/>
  <c r="F66" i="13"/>
  <c r="F45" i="13"/>
  <c r="F44" i="13" s="1"/>
  <c r="F9" i="13"/>
  <c r="F38" i="13"/>
  <c r="F71" i="13"/>
  <c r="F106" i="13"/>
  <c r="F116" i="13"/>
  <c r="F119" i="13"/>
  <c r="F118" i="13" s="1"/>
  <c r="F136" i="13"/>
  <c r="F161" i="13"/>
  <c r="F160" i="13" s="1"/>
  <c r="F179" i="13"/>
  <c r="F197" i="13"/>
  <c r="G197" i="13" s="1"/>
  <c r="F202" i="13"/>
  <c r="F201" i="13"/>
  <c r="C202" i="13"/>
  <c r="C201" i="13" s="1"/>
  <c r="E202" i="13"/>
  <c r="E201" i="13" s="1"/>
  <c r="G201" i="13" s="1"/>
  <c r="G194" i="13"/>
  <c r="G192" i="13"/>
  <c r="G191" i="13"/>
  <c r="G190" i="13"/>
  <c r="G186" i="13"/>
  <c r="G184" i="13"/>
  <c r="G61" i="13"/>
  <c r="E8" i="7"/>
  <c r="F8" i="7"/>
  <c r="F45" i="7" s="1"/>
  <c r="C8" i="7"/>
  <c r="C45" i="7" s="1"/>
  <c r="E28" i="7"/>
  <c r="F28" i="7"/>
  <c r="C28" i="7"/>
  <c r="F42" i="7"/>
  <c r="C37" i="15"/>
  <c r="C9" i="15"/>
  <c r="C28" i="15"/>
  <c r="C31" i="15"/>
  <c r="C30" i="15" s="1"/>
  <c r="C86" i="15"/>
  <c r="C109" i="15"/>
  <c r="C137" i="15"/>
  <c r="C142" i="15"/>
  <c r="C141" i="15" s="1"/>
  <c r="C148" i="15"/>
  <c r="E37" i="15"/>
  <c r="E9" i="15"/>
  <c r="E28" i="15"/>
  <c r="E31" i="15"/>
  <c r="E30" i="15" s="1"/>
  <c r="G30" i="15" s="1"/>
  <c r="E86" i="15"/>
  <c r="E109" i="15"/>
  <c r="G117" i="15"/>
  <c r="G120" i="15"/>
  <c r="E142" i="15"/>
  <c r="E148" i="15"/>
  <c r="E179" i="13"/>
  <c r="E136" i="13"/>
  <c r="E119" i="13"/>
  <c r="E118" i="13" s="1"/>
  <c r="E106" i="13"/>
  <c r="E71" i="13"/>
  <c r="E45" i="13"/>
  <c r="E44" i="13" s="1"/>
  <c r="E38" i="13"/>
  <c r="E9" i="13"/>
  <c r="E66" i="13"/>
  <c r="E116" i="13"/>
  <c r="E197" i="13"/>
  <c r="E161" i="13"/>
  <c r="E160" i="13" s="1"/>
  <c r="G160" i="13" s="1"/>
  <c r="G133" i="13"/>
  <c r="G125" i="13"/>
  <c r="E31" i="14"/>
  <c r="E43" i="14"/>
  <c r="E19" i="14"/>
  <c r="E24" i="14"/>
  <c r="E41" i="14"/>
  <c r="E10" i="14"/>
  <c r="E14" i="14"/>
  <c r="G14" i="14" s="1"/>
  <c r="E16" i="14"/>
  <c r="E51" i="14"/>
  <c r="E50" i="14" s="1"/>
  <c r="E56" i="14"/>
  <c r="E55" i="14" s="1"/>
  <c r="G55" i="14" s="1"/>
  <c r="E59" i="14"/>
  <c r="E62" i="14"/>
  <c r="E64" i="14"/>
  <c r="E66" i="14"/>
  <c r="E81" i="14"/>
  <c r="G81" i="14" s="1"/>
  <c r="E74" i="14"/>
  <c r="E76" i="14"/>
  <c r="E83" i="14"/>
  <c r="E70" i="14"/>
  <c r="E69" i="14" s="1"/>
  <c r="E87" i="14"/>
  <c r="E86" i="14" s="1"/>
  <c r="E18" i="9"/>
  <c r="E20" i="9"/>
  <c r="E12" i="9"/>
  <c r="F10" i="9"/>
  <c r="F12" i="9"/>
  <c r="F16" i="9"/>
  <c r="F18" i="9"/>
  <c r="F20" i="9"/>
  <c r="C12" i="9"/>
  <c r="C18" i="9"/>
  <c r="C20" i="9"/>
  <c r="C10" i="9"/>
  <c r="C9" i="9" s="1"/>
  <c r="C14" i="9"/>
  <c r="G11" i="9"/>
  <c r="F70" i="14"/>
  <c r="F69" i="14" s="1"/>
  <c r="F74" i="14"/>
  <c r="F76" i="14"/>
  <c r="F81" i="14"/>
  <c r="F83" i="14"/>
  <c r="F66" i="14"/>
  <c r="F10" i="14"/>
  <c r="F14" i="14"/>
  <c r="F16" i="14"/>
  <c r="F24" i="14"/>
  <c r="F41" i="14"/>
  <c r="F43" i="14"/>
  <c r="F56" i="14"/>
  <c r="F55" i="14" s="1"/>
  <c r="F59" i="14"/>
  <c r="F58" i="14" s="1"/>
  <c r="F62" i="14"/>
  <c r="F64" i="14"/>
  <c r="F61" i="14" s="1"/>
  <c r="C70" i="14"/>
  <c r="C69" i="14" s="1"/>
  <c r="C74" i="14"/>
  <c r="C76" i="14"/>
  <c r="C81" i="14"/>
  <c r="C83" i="14"/>
  <c r="C10" i="14"/>
  <c r="C14" i="14"/>
  <c r="C16" i="14"/>
  <c r="C19" i="14"/>
  <c r="C24" i="14"/>
  <c r="C31" i="14"/>
  <c r="C41" i="14"/>
  <c r="C43" i="14"/>
  <c r="C51" i="14"/>
  <c r="C50" i="14"/>
  <c r="C56" i="14"/>
  <c r="C55" i="14" s="1"/>
  <c r="C59" i="14"/>
  <c r="C58" i="14"/>
  <c r="C62" i="14"/>
  <c r="C64" i="14"/>
  <c r="C66" i="14"/>
  <c r="E49" i="9"/>
  <c r="E48" i="9"/>
  <c r="G48" i="9" s="1"/>
  <c r="F49" i="9"/>
  <c r="F48" i="9"/>
  <c r="F47" i="9"/>
  <c r="E18" i="8" s="1"/>
  <c r="E24" i="9"/>
  <c r="E28" i="9"/>
  <c r="G28" i="9" s="1"/>
  <c r="E31" i="9"/>
  <c r="E30" i="9" s="1"/>
  <c r="E34" i="9"/>
  <c r="E37" i="9"/>
  <c r="E41" i="9"/>
  <c r="E40" i="9" s="1"/>
  <c r="F24" i="9"/>
  <c r="F23" i="9" s="1"/>
  <c r="F28" i="9"/>
  <c r="F31" i="9"/>
  <c r="F30" i="9" s="1"/>
  <c r="F34" i="9"/>
  <c r="F37" i="9"/>
  <c r="F33" i="9" s="1"/>
  <c r="F41" i="9"/>
  <c r="F40" i="9" s="1"/>
  <c r="C49" i="9"/>
  <c r="C48" i="9"/>
  <c r="C47" i="9"/>
  <c r="B18" i="8" s="1"/>
  <c r="C24" i="9"/>
  <c r="C28" i="9"/>
  <c r="C23" i="9"/>
  <c r="C31" i="9"/>
  <c r="C30" i="9" s="1"/>
  <c r="C34" i="9"/>
  <c r="C33" i="9" s="1"/>
  <c r="C37" i="9"/>
  <c r="C41" i="9"/>
  <c r="C40" i="9" s="1"/>
  <c r="C45" i="9"/>
  <c r="C44" i="9"/>
  <c r="F148" i="15"/>
  <c r="F142" i="15"/>
  <c r="F141" i="15" s="1"/>
  <c r="G136" i="15"/>
  <c r="G124" i="15"/>
  <c r="G123" i="15"/>
  <c r="F31" i="15"/>
  <c r="F30" i="15" s="1"/>
  <c r="F137" i="15"/>
  <c r="G137" i="15" s="1"/>
  <c r="F9" i="15"/>
  <c r="F28" i="15"/>
  <c r="F37" i="15"/>
  <c r="F86" i="15"/>
  <c r="F109" i="15"/>
  <c r="G35" i="15"/>
  <c r="G34" i="15"/>
  <c r="G33" i="15"/>
  <c r="G32" i="15"/>
  <c r="G38" i="15"/>
  <c r="G39" i="15"/>
  <c r="G40" i="15"/>
  <c r="G75" i="15"/>
  <c r="G26" i="15"/>
  <c r="G25" i="15"/>
  <c r="G24" i="15"/>
  <c r="G113" i="15"/>
  <c r="G106" i="15"/>
  <c r="G104" i="15"/>
  <c r="G99" i="15"/>
  <c r="G97" i="15"/>
  <c r="G93" i="15"/>
  <c r="G90" i="15"/>
  <c r="G145" i="13"/>
  <c r="G182" i="13"/>
  <c r="G174" i="13"/>
  <c r="C161" i="13"/>
  <c r="C160" i="13" s="1"/>
  <c r="G146" i="13"/>
  <c r="G144" i="13"/>
  <c r="G142" i="13"/>
  <c r="G140" i="13"/>
  <c r="G139" i="13"/>
  <c r="C136" i="13"/>
  <c r="G138" i="13"/>
  <c r="G131" i="13"/>
  <c r="G51" i="13"/>
  <c r="G48" i="13"/>
  <c r="C9" i="13"/>
  <c r="C8" i="13" s="1"/>
  <c r="G41" i="13"/>
  <c r="G35" i="13"/>
  <c r="G34" i="13"/>
  <c r="G32" i="13"/>
  <c r="F16" i="7"/>
  <c r="G20" i="7"/>
  <c r="G33" i="7"/>
  <c r="G44" i="7"/>
  <c r="E16" i="7"/>
  <c r="C16" i="7"/>
  <c r="E38" i="7"/>
  <c r="E42" i="7"/>
  <c r="C42" i="7"/>
  <c r="C41" i="7" s="1"/>
  <c r="G51" i="9"/>
  <c r="G29" i="9"/>
  <c r="G19" i="9"/>
  <c r="G49" i="9"/>
  <c r="G18" i="9"/>
  <c r="G73" i="15"/>
  <c r="G74" i="15"/>
  <c r="G48" i="15"/>
  <c r="G76" i="15"/>
  <c r="G118" i="15"/>
  <c r="G119" i="15"/>
  <c r="G121" i="15"/>
  <c r="G122" i="15"/>
  <c r="G129" i="15"/>
  <c r="G130" i="15"/>
  <c r="G131" i="15"/>
  <c r="G132" i="15"/>
  <c r="G133" i="15"/>
  <c r="G134" i="15"/>
  <c r="G135" i="15"/>
  <c r="G128" i="15"/>
  <c r="G126" i="15"/>
  <c r="G110" i="15"/>
  <c r="G108" i="15"/>
  <c r="G94" i="15"/>
  <c r="G91" i="15"/>
  <c r="G88" i="15"/>
  <c r="G107" i="15"/>
  <c r="G92" i="15"/>
  <c r="G149" i="15"/>
  <c r="G148" i="15"/>
  <c r="G147" i="15"/>
  <c r="G146" i="15"/>
  <c r="G145" i="15"/>
  <c r="G144" i="15"/>
  <c r="G143" i="15"/>
  <c r="G140" i="15"/>
  <c r="G139" i="15"/>
  <c r="G138" i="15"/>
  <c r="G114" i="15"/>
  <c r="G112" i="15"/>
  <c r="G102" i="15"/>
  <c r="G101" i="15"/>
  <c r="G100" i="15"/>
  <c r="G98" i="15"/>
  <c r="G96" i="15"/>
  <c r="G89" i="15"/>
  <c r="G87" i="15"/>
  <c r="G84" i="15"/>
  <c r="G83" i="15"/>
  <c r="G82" i="15"/>
  <c r="G81" i="15"/>
  <c r="G80" i="15"/>
  <c r="G78" i="15"/>
  <c r="G72" i="15"/>
  <c r="G71" i="15"/>
  <c r="G69" i="15"/>
  <c r="G68" i="15"/>
  <c r="G67" i="15"/>
  <c r="G66" i="15"/>
  <c r="G65" i="15"/>
  <c r="G64" i="15"/>
  <c r="G63" i="15"/>
  <c r="G62" i="15"/>
  <c r="G61" i="15"/>
  <c r="G60" i="15"/>
  <c r="G59" i="15"/>
  <c r="G58" i="15"/>
  <c r="G57" i="15"/>
  <c r="G56" i="15"/>
  <c r="G55" i="15"/>
  <c r="G54" i="15"/>
  <c r="G53" i="15"/>
  <c r="G52" i="15"/>
  <c r="G51" i="15"/>
  <c r="G50" i="15"/>
  <c r="G49" i="15"/>
  <c r="G46" i="15"/>
  <c r="G45" i="15"/>
  <c r="G44" i="15"/>
  <c r="G43" i="15"/>
  <c r="G41" i="15"/>
  <c r="G29" i="15"/>
  <c r="G28" i="15"/>
  <c r="G27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166" i="13"/>
  <c r="G163" i="13"/>
  <c r="G148" i="13"/>
  <c r="C45" i="13"/>
  <c r="G65" i="13"/>
  <c r="C66" i="13"/>
  <c r="G66" i="13"/>
  <c r="G199" i="13"/>
  <c r="G193" i="13"/>
  <c r="G185" i="13"/>
  <c r="G187" i="13"/>
  <c r="G188" i="13"/>
  <c r="G189" i="13"/>
  <c r="G176" i="13"/>
  <c r="G177" i="13"/>
  <c r="G155" i="13"/>
  <c r="G153" i="13"/>
  <c r="G156" i="13"/>
  <c r="G158" i="13"/>
  <c r="G147" i="13"/>
  <c r="G143" i="13"/>
  <c r="C119" i="13"/>
  <c r="C118" i="13" s="1"/>
  <c r="G135" i="13"/>
  <c r="C106" i="13"/>
  <c r="G116" i="13"/>
  <c r="C116" i="13"/>
  <c r="G117" i="13"/>
  <c r="G115" i="13"/>
  <c r="G112" i="13"/>
  <c r="G91" i="13"/>
  <c r="G67" i="13"/>
  <c r="G68" i="13"/>
  <c r="G69" i="13"/>
  <c r="G63" i="13"/>
  <c r="G60" i="13"/>
  <c r="G54" i="13"/>
  <c r="G33" i="13"/>
  <c r="G29" i="13"/>
  <c r="G22" i="13"/>
  <c r="G18" i="13"/>
  <c r="G70" i="15"/>
  <c r="G42" i="15"/>
  <c r="C179" i="13"/>
  <c r="C197" i="13"/>
  <c r="G196" i="13"/>
  <c r="G172" i="13"/>
  <c r="G171" i="13"/>
  <c r="G170" i="13"/>
  <c r="G168" i="13"/>
  <c r="G152" i="13"/>
  <c r="G130" i="13"/>
  <c r="G132" i="13"/>
  <c r="C71" i="13"/>
  <c r="G109" i="13"/>
  <c r="G84" i="13"/>
  <c r="G80" i="13"/>
  <c r="G74" i="13"/>
  <c r="G43" i="13"/>
  <c r="G39" i="13"/>
  <c r="G37" i="13"/>
  <c r="G36" i="13"/>
  <c r="G11" i="13"/>
  <c r="G12" i="13"/>
  <c r="G13" i="13"/>
  <c r="G14" i="13"/>
  <c r="G15" i="13"/>
  <c r="G16" i="13"/>
  <c r="G17" i="13"/>
  <c r="G19" i="13"/>
  <c r="G21" i="13"/>
  <c r="G23" i="13"/>
  <c r="G24" i="13"/>
  <c r="G25" i="13"/>
  <c r="G26" i="13"/>
  <c r="G27" i="13"/>
  <c r="G28" i="13"/>
  <c r="G30" i="13"/>
  <c r="G31" i="13"/>
  <c r="G42" i="13"/>
  <c r="G46" i="13"/>
  <c r="G47" i="13"/>
  <c r="G49" i="13"/>
  <c r="G50" i="13"/>
  <c r="G52" i="13"/>
  <c r="G53" i="13"/>
  <c r="G55" i="13"/>
  <c r="G57" i="13"/>
  <c r="G58" i="13"/>
  <c r="G59" i="13"/>
  <c r="G62" i="13"/>
  <c r="G64" i="13"/>
  <c r="G72" i="13"/>
  <c r="G73" i="13"/>
  <c r="G75" i="13"/>
  <c r="G76" i="13"/>
  <c r="G77" i="13"/>
  <c r="G78" i="13"/>
  <c r="G79" i="13"/>
  <c r="G81" i="13"/>
  <c r="G82" i="13"/>
  <c r="G83" i="13"/>
  <c r="G85" i="13"/>
  <c r="G86" i="13"/>
  <c r="G87" i="13"/>
  <c r="G88" i="13"/>
  <c r="G89" i="13"/>
  <c r="G90" i="13"/>
  <c r="G92" i="13"/>
  <c r="G93" i="13"/>
  <c r="G94" i="13"/>
  <c r="G95" i="13"/>
  <c r="G96" i="13"/>
  <c r="G97" i="13"/>
  <c r="G98" i="13"/>
  <c r="G99" i="13"/>
  <c r="G100" i="13"/>
  <c r="G101" i="13"/>
  <c r="G102" i="13"/>
  <c r="G103" i="13"/>
  <c r="G104" i="13"/>
  <c r="G105" i="13"/>
  <c r="G107" i="13"/>
  <c r="G108" i="13"/>
  <c r="G110" i="13"/>
  <c r="G111" i="13"/>
  <c r="G113" i="13"/>
  <c r="G114" i="13"/>
  <c r="G120" i="13"/>
  <c r="G121" i="13"/>
  <c r="G122" i="13"/>
  <c r="G123" i="13"/>
  <c r="G124" i="13"/>
  <c r="G129" i="13"/>
  <c r="G134" i="13"/>
  <c r="G141" i="13"/>
  <c r="G149" i="13"/>
  <c r="G150" i="13"/>
  <c r="G151" i="13"/>
  <c r="G162" i="13"/>
  <c r="G164" i="13"/>
  <c r="G165" i="13"/>
  <c r="G167" i="13"/>
  <c r="G169" i="13"/>
  <c r="G173" i="13"/>
  <c r="G180" i="13"/>
  <c r="G181" i="13"/>
  <c r="G195" i="13"/>
  <c r="G198" i="13"/>
  <c r="G200" i="13"/>
  <c r="G203" i="13"/>
  <c r="G13" i="7"/>
  <c r="G161" i="13"/>
  <c r="G175" i="13"/>
  <c r="G10" i="13"/>
  <c r="F28" i="8"/>
  <c r="F87" i="14"/>
  <c r="F86" i="14" s="1"/>
  <c r="F85" i="14" s="1"/>
  <c r="E29" i="8" s="1"/>
  <c r="E30" i="8" s="1"/>
  <c r="C87" i="14"/>
  <c r="C86" i="14" s="1"/>
  <c r="C85" i="14" s="1"/>
  <c r="B29" i="8" s="1"/>
  <c r="B30" i="8" s="1"/>
  <c r="G88" i="14"/>
  <c r="G84" i="14"/>
  <c r="G65" i="14"/>
  <c r="G75" i="14"/>
  <c r="G74" i="14"/>
  <c r="G64" i="14"/>
  <c r="G57" i="14"/>
  <c r="G29" i="14"/>
  <c r="G23" i="14"/>
  <c r="G66" i="14"/>
  <c r="G11" i="14"/>
  <c r="G15" i="14"/>
  <c r="G17" i="14"/>
  <c r="G20" i="14"/>
  <c r="G21" i="14"/>
  <c r="G22" i="14"/>
  <c r="G25" i="14"/>
  <c r="G26" i="14"/>
  <c r="G27" i="14"/>
  <c r="G28" i="14"/>
  <c r="G30" i="14"/>
  <c r="G32" i="14"/>
  <c r="G33" i="14"/>
  <c r="G34" i="14"/>
  <c r="G35" i="14"/>
  <c r="G36" i="14"/>
  <c r="G37" i="14"/>
  <c r="G38" i="14"/>
  <c r="G39" i="14"/>
  <c r="G40" i="14"/>
  <c r="G42" i="14"/>
  <c r="G44" i="14"/>
  <c r="G45" i="14"/>
  <c r="G46" i="14"/>
  <c r="G47" i="14"/>
  <c r="G48" i="14"/>
  <c r="G49" i="14"/>
  <c r="G52" i="14"/>
  <c r="G53" i="14"/>
  <c r="G54" i="14"/>
  <c r="G60" i="14"/>
  <c r="G63" i="14"/>
  <c r="G67" i="14"/>
  <c r="G71" i="14"/>
  <c r="G72" i="14"/>
  <c r="G77" i="14"/>
  <c r="G78" i="14"/>
  <c r="G79" i="14"/>
  <c r="G80" i="14"/>
  <c r="G82" i="14"/>
  <c r="E36" i="7"/>
  <c r="F36" i="7"/>
  <c r="C36" i="7"/>
  <c r="E26" i="7"/>
  <c r="F26" i="7"/>
  <c r="C26" i="7"/>
  <c r="E11" i="7"/>
  <c r="F11" i="7"/>
  <c r="C11" i="7"/>
  <c r="C23" i="7"/>
  <c r="G31" i="7"/>
  <c r="F38" i="7"/>
  <c r="G24" i="7"/>
  <c r="G30" i="7"/>
  <c r="E14" i="7"/>
  <c r="F14" i="7"/>
  <c r="C14" i="7"/>
  <c r="E41" i="7"/>
  <c r="G41" i="7" s="1"/>
  <c r="E23" i="7"/>
  <c r="E9" i="7"/>
  <c r="F9" i="7"/>
  <c r="C9" i="7"/>
  <c r="G15" i="7"/>
  <c r="G10" i="7"/>
  <c r="G12" i="7"/>
  <c r="G17" i="7"/>
  <c r="G18" i="7"/>
  <c r="G19" i="7"/>
  <c r="G22" i="7"/>
  <c r="G25" i="7"/>
  <c r="G27" i="7"/>
  <c r="G34" i="7"/>
  <c r="G35" i="7"/>
  <c r="G37" i="7"/>
  <c r="G39" i="7"/>
  <c r="G43" i="7"/>
  <c r="G40" i="7"/>
  <c r="C38" i="7"/>
  <c r="F23" i="7"/>
  <c r="G41" i="14"/>
  <c r="G62" i="14"/>
  <c r="G21" i="7"/>
  <c r="G14" i="7"/>
  <c r="G42" i="7"/>
  <c r="F41" i="7"/>
  <c r="G38" i="7"/>
  <c r="G36" i="7"/>
  <c r="G43" i="9"/>
  <c r="G46" i="9"/>
  <c r="G13" i="9"/>
  <c r="G15" i="9"/>
  <c r="G17" i="9"/>
  <c r="G21" i="9"/>
  <c r="G22" i="9"/>
  <c r="G25" i="9"/>
  <c r="G26" i="9"/>
  <c r="G27" i="9"/>
  <c r="G36" i="9"/>
  <c r="G38" i="9"/>
  <c r="G42" i="9"/>
  <c r="G50" i="9"/>
  <c r="G35" i="9"/>
  <c r="G87" i="14"/>
  <c r="G39" i="9"/>
  <c r="G14" i="9"/>
  <c r="G32" i="9"/>
  <c r="G16" i="9"/>
  <c r="G24" i="9"/>
  <c r="G19" i="14" l="1"/>
  <c r="G16" i="14"/>
  <c r="E85" i="14"/>
  <c r="G86" i="14"/>
  <c r="C73" i="14"/>
  <c r="C68" i="14" s="1"/>
  <c r="B21" i="8" s="1"/>
  <c r="G56" i="14"/>
  <c r="C18" i="14"/>
  <c r="C9" i="14"/>
  <c r="E61" i="14"/>
  <c r="G83" i="14"/>
  <c r="G106" i="13"/>
  <c r="G38" i="13"/>
  <c r="G28" i="7"/>
  <c r="G11" i="7"/>
  <c r="G76" i="14"/>
  <c r="F73" i="14"/>
  <c r="F68" i="14" s="1"/>
  <c r="E21" i="8" s="1"/>
  <c r="G69" i="14"/>
  <c r="C61" i="14"/>
  <c r="G61" i="14"/>
  <c r="G59" i="14"/>
  <c r="G51" i="14"/>
  <c r="G50" i="14"/>
  <c r="G31" i="14"/>
  <c r="F18" i="14"/>
  <c r="G24" i="14"/>
  <c r="F9" i="14"/>
  <c r="E23" i="9"/>
  <c r="G45" i="9"/>
  <c r="G40" i="9"/>
  <c r="G37" i="9"/>
  <c r="G30" i="9"/>
  <c r="G20" i="9"/>
  <c r="G12" i="9"/>
  <c r="E73" i="14"/>
  <c r="E58" i="14"/>
  <c r="G58" i="14" s="1"/>
  <c r="G70" i="14"/>
  <c r="E45" i="7"/>
  <c r="G45" i="7" s="1"/>
  <c r="G23" i="7"/>
  <c r="G16" i="7"/>
  <c r="G8" i="7"/>
  <c r="G9" i="7"/>
  <c r="E18" i="14"/>
  <c r="E9" i="14"/>
  <c r="G10" i="14"/>
  <c r="E47" i="9"/>
  <c r="E33" i="9"/>
  <c r="G33" i="9" s="1"/>
  <c r="G34" i="9"/>
  <c r="E9" i="9"/>
  <c r="E141" i="15"/>
  <c r="G141" i="15" s="1"/>
  <c r="C44" i="13"/>
  <c r="G43" i="14"/>
  <c r="G26" i="7"/>
  <c r="G23" i="9"/>
  <c r="G10" i="9"/>
  <c r="G31" i="9"/>
  <c r="F9" i="9"/>
  <c r="F8" i="9" s="1"/>
  <c r="C8" i="9"/>
  <c r="G41" i="9"/>
  <c r="G142" i="15"/>
  <c r="C8" i="15"/>
  <c r="C115" i="15"/>
  <c r="F115" i="15"/>
  <c r="G109" i="15"/>
  <c r="F85" i="15"/>
  <c r="F36" i="15"/>
  <c r="G77" i="15"/>
  <c r="C85" i="15"/>
  <c r="E116" i="15"/>
  <c r="G116" i="15" s="1"/>
  <c r="G47" i="15"/>
  <c r="F8" i="15"/>
  <c r="G9" i="15"/>
  <c r="E36" i="15"/>
  <c r="G37" i="15"/>
  <c r="G31" i="15"/>
  <c r="E8" i="15"/>
  <c r="C36" i="15"/>
  <c r="G202" i="13"/>
  <c r="C178" i="13"/>
  <c r="F178" i="13"/>
  <c r="E178" i="13"/>
  <c r="G179" i="13"/>
  <c r="G136" i="13"/>
  <c r="G119" i="13"/>
  <c r="G118" i="13"/>
  <c r="C70" i="13"/>
  <c r="G71" i="13"/>
  <c r="G45" i="13"/>
  <c r="E70" i="13"/>
  <c r="E8" i="13"/>
  <c r="E85" i="15"/>
  <c r="G86" i="15"/>
  <c r="G137" i="13"/>
  <c r="F70" i="13"/>
  <c r="F8" i="13"/>
  <c r="G9" i="13"/>
  <c r="G44" i="13"/>
  <c r="C62" i="16"/>
  <c r="C8" i="14" l="1"/>
  <c r="C89" i="14" s="1"/>
  <c r="C29" i="8"/>
  <c r="C30" i="8" s="1"/>
  <c r="G85" i="14"/>
  <c r="D29" i="8"/>
  <c r="C205" i="13"/>
  <c r="G73" i="14"/>
  <c r="G18" i="14"/>
  <c r="F8" i="14"/>
  <c r="E20" i="8" s="1"/>
  <c r="E19" i="8" s="1"/>
  <c r="G9" i="9"/>
  <c r="E68" i="14"/>
  <c r="D21" i="8"/>
  <c r="F21" i="8" s="1"/>
  <c r="E8" i="14"/>
  <c r="D20" i="8" s="1"/>
  <c r="G9" i="14"/>
  <c r="D18" i="8"/>
  <c r="F18" i="8" s="1"/>
  <c r="G47" i="9"/>
  <c r="E8" i="9"/>
  <c r="E52" i="9" s="1"/>
  <c r="G178" i="13"/>
  <c r="E17" i="8"/>
  <c r="E16" i="8" s="1"/>
  <c r="F52" i="9"/>
  <c r="C52" i="9"/>
  <c r="B17" i="8"/>
  <c r="B16" i="8" s="1"/>
  <c r="G8" i="15"/>
  <c r="E115" i="15"/>
  <c r="G115" i="15" s="1"/>
  <c r="F150" i="15"/>
  <c r="C150" i="15"/>
  <c r="G85" i="15"/>
  <c r="G36" i="15"/>
  <c r="G70" i="13"/>
  <c r="E205" i="13"/>
  <c r="G8" i="13"/>
  <c r="F205" i="13"/>
  <c r="B20" i="8" l="1"/>
  <c r="B19" i="8" s="1"/>
  <c r="B22" i="8" s="1"/>
  <c r="B31" i="8" s="1"/>
  <c r="F29" i="8"/>
  <c r="D30" i="8"/>
  <c r="F30" i="8" s="1"/>
  <c r="E150" i="15"/>
  <c r="F89" i="14"/>
  <c r="E22" i="8"/>
  <c r="E31" i="8" s="1"/>
  <c r="G68" i="14"/>
  <c r="C19" i="8"/>
  <c r="C22" i="8" s="1"/>
  <c r="C31" i="8" s="1"/>
  <c r="G8" i="14"/>
  <c r="E89" i="14"/>
  <c r="D17" i="8"/>
  <c r="F17" i="8" s="1"/>
  <c r="G8" i="9"/>
  <c r="F20" i="8"/>
  <c r="D19" i="8"/>
  <c r="F19" i="8" s="1"/>
  <c r="G52" i="9"/>
  <c r="G205" i="13"/>
  <c r="G150" i="15" l="1"/>
  <c r="G89" i="14"/>
  <c r="D16" i="8"/>
  <c r="F16" i="8" s="1"/>
  <c r="D22" i="8" l="1"/>
  <c r="F22" i="8" s="1"/>
  <c r="D31" i="8" l="1"/>
</calcChain>
</file>

<file path=xl/sharedStrings.xml><?xml version="1.0" encoding="utf-8"?>
<sst xmlns="http://schemas.openxmlformats.org/spreadsheetml/2006/main" count="1950" uniqueCount="1514">
  <si>
    <t>Financijski plan broj 325-000005/2017</t>
  </si>
  <si>
    <t>Naziv1</t>
  </si>
  <si>
    <t>Naziv2</t>
  </si>
  <si>
    <t>Naziv3</t>
  </si>
  <si>
    <t>Naziv4</t>
  </si>
  <si>
    <t>Naziv5</t>
  </si>
  <si>
    <t>Planirani iznos</t>
  </si>
  <si>
    <t>Realizirani iznos</t>
  </si>
  <si>
    <t>Plaćeni iznos</t>
  </si>
  <si>
    <t>Izvor financiranja</t>
  </si>
  <si>
    <t>Planirani iznos</t>
  </si>
  <si>
    <t>Realizirani iznos</t>
  </si>
  <si>
    <t>Plaćeni iznos</t>
  </si>
  <si>
    <t>202 PLAN RASHODA</t>
  </si>
  <si>
    <t>237 OBRAZOVANJE</t>
  </si>
  <si>
    <t>23701 RAZVOJ ODGOJNO OBRAZOVNOG SUSTAVA</t>
  </si>
  <si>
    <t>A679047 Europske integracije</t>
  </si>
  <si>
    <t>3111 PLAĆE ZA REDOVAN RAD - BRUTO</t>
  </si>
  <si>
    <t>Pomoći EU (51)</t>
  </si>
  <si>
    <t>202 PLAN RASHODA</t>
  </si>
  <si>
    <t>237 OBRAZOVANJE</t>
  </si>
  <si>
    <t>23701 RAZVOJ ODGOJNO OBRAZOVNOG SUSTAVA</t>
  </si>
  <si>
    <t>A679047 Europske integracije</t>
  </si>
  <si>
    <t>3111 PLAĆE ZA REDOVAN RAD - BRUTO</t>
  </si>
  <si>
    <t>Opći prihodi i primici</t>
  </si>
  <si>
    <t>202 PLAN RASHODA</t>
  </si>
  <si>
    <t>237 OBRAZOVANJE</t>
  </si>
  <si>
    <t>23701 RAZVOJ ODGOJNO OBRAZOVNOG SUSTAVA</t>
  </si>
  <si>
    <t>A679047 Europske integracije</t>
  </si>
  <si>
    <t>3111 PLAĆE ZA REDOVAN RAD - BRUTO</t>
  </si>
  <si>
    <t>Vlastiti prihodi</t>
  </si>
  <si>
    <t>202 PLAN RASHODA</t>
  </si>
  <si>
    <t>237 OBRAZOVANJE</t>
  </si>
  <si>
    <t>23701 RAZVOJ ODGOJNO OBRAZOVNOG SUSTAVA</t>
  </si>
  <si>
    <t>A679047 Europske integracije</t>
  </si>
  <si>
    <t>3121 OSTALI RASHODI ZA ZAPOSLENE</t>
  </si>
  <si>
    <t>Vlastiti prihodi</t>
  </si>
  <si>
    <t>202 PLAN RASHODA</t>
  </si>
  <si>
    <t>237 OBRAZOVANJE</t>
  </si>
  <si>
    <t>23701 RAZVOJ ODGOJNO OBRAZOVNOG SUSTAVA</t>
  </si>
  <si>
    <t>A679047 Europske integracije</t>
  </si>
  <si>
    <t>3132 DOPRINOSI ZA OBVEZNO ZDRAVSTVENO OSIGURANJE</t>
  </si>
  <si>
    <t>Vlastiti prihodi</t>
  </si>
  <si>
    <t>202 PLAN RASHODA</t>
  </si>
  <si>
    <t>237 OBRAZOVANJE</t>
  </si>
  <si>
    <t>23701 RAZVOJ ODGOJNO OBRAZOVNOG SUSTAVA</t>
  </si>
  <si>
    <t>A679047 Europske integracije</t>
  </si>
  <si>
    <t>3132 DOPRINOSI ZA OBVEZNO ZDRAVSTVENO OSIGURANJE</t>
  </si>
  <si>
    <t>Pomoći EU (51)</t>
  </si>
  <si>
    <t>202 PLAN RASHODA</t>
  </si>
  <si>
    <t>237 OBRAZOVANJE</t>
  </si>
  <si>
    <t>23701 RAZVOJ ODGOJNO OBRAZOVNOG SUSTAVA</t>
  </si>
  <si>
    <t>A679047 Europske integracije</t>
  </si>
  <si>
    <t>3132 DOPRINOSI ZA OBVEZNO ZDRAVSTVENO OSIGURANJE</t>
  </si>
  <si>
    <t>Opći prihodi i primici</t>
  </si>
  <si>
    <t>202 PLAN RASHODA</t>
  </si>
  <si>
    <t>237 OBRAZOVANJE</t>
  </si>
  <si>
    <t>23701 RAZVOJ ODGOJNO OBRAZOVNOG SUSTAVA</t>
  </si>
  <si>
    <t>A679047 Europske integracije</t>
  </si>
  <si>
    <t>3133 DOPRINOSI ZA OBVEZNO OSIGURANJE U SLUČAJU NEZAPOSLENOSTI</t>
  </si>
  <si>
    <t>Opći prihodi i primici</t>
  </si>
  <si>
    <t>202 PLAN RASHODA</t>
  </si>
  <si>
    <t>237 OBRAZOVANJE</t>
  </si>
  <si>
    <t>23701 RAZVOJ ODGOJNO OBRAZOVNOG SUSTAVA</t>
  </si>
  <si>
    <t>A679047 Europske integracije</t>
  </si>
  <si>
    <t>3133 DOPRINOSI ZA OBVEZNO OSIGURANJE U SLUČAJU NEZAPOSLENOSTI</t>
  </si>
  <si>
    <t>Pomoći EU (51)</t>
  </si>
  <si>
    <t>202 PLAN RASHODA</t>
  </si>
  <si>
    <t>237 OBRAZOVANJE</t>
  </si>
  <si>
    <t>23701 RAZVOJ ODGOJNO OBRAZOVNOG SUSTAVA</t>
  </si>
  <si>
    <t>A679047 Europske integracije</t>
  </si>
  <si>
    <t>3133 DOPRINOSI ZA OBVEZNO OSIGURANJE U SLUČAJU NEZAPOSLENOSTI</t>
  </si>
  <si>
    <t>Vlastiti prihodi</t>
  </si>
  <si>
    <t>202 PLAN RASHODA</t>
  </si>
  <si>
    <t>237 OBRAZOVANJE</t>
  </si>
  <si>
    <t>23701 RAZVOJ ODGOJNO OBRAZOVNOG SUSTAVA</t>
  </si>
  <si>
    <t>A679047 Europske integracije</t>
  </si>
  <si>
    <t>3211 Službena putovanja</t>
  </si>
  <si>
    <t>Vlastiti prihodi</t>
  </si>
  <si>
    <t>202 PLAN RASHODA</t>
  </si>
  <si>
    <t>237 OBRAZOVANJE</t>
  </si>
  <si>
    <t>23701 RAZVOJ ODGOJNO OBRAZOVNOG SUSTAVA</t>
  </si>
  <si>
    <t>A679047 Europske integracije</t>
  </si>
  <si>
    <t>3211 Službena putovanja</t>
  </si>
  <si>
    <t>Pomoći EU (51)</t>
  </si>
  <si>
    <t>202 PLAN RASHODA</t>
  </si>
  <si>
    <t>237 OBRAZOVANJE</t>
  </si>
  <si>
    <t>23701 RAZVOJ ODGOJNO OBRAZOVNOG SUSTAVA</t>
  </si>
  <si>
    <t>A679047 Europske integracije</t>
  </si>
  <si>
    <t>3212 Naknade za prijevoz, za rad na terenu i odvojeni život</t>
  </si>
  <si>
    <t>Vlastiti prihodi</t>
  </si>
  <si>
    <t>202 PLAN RASHODA</t>
  </si>
  <si>
    <t>237 OBRAZOVANJE</t>
  </si>
  <si>
    <t>23701 RAZVOJ ODGOJNO OBRAZOVNOG SUSTAVA</t>
  </si>
  <si>
    <t>A679047 Europske integracije</t>
  </si>
  <si>
    <t>3213 Stručno usavršavanje zaposlenika</t>
  </si>
  <si>
    <t>Pomoći EU (51)</t>
  </si>
  <si>
    <t>202 PLAN RASHODA</t>
  </si>
  <si>
    <t>237 OBRAZOVANJE</t>
  </si>
  <si>
    <t>23701 RAZVOJ ODGOJNO OBRAZOVNOG SUSTAVA</t>
  </si>
  <si>
    <t>A679047 Europske integracije</t>
  </si>
  <si>
    <t>3221 Uredski materijal i ostali materijalni rashodi</t>
  </si>
  <si>
    <t>Pomoći EU (51)</t>
  </si>
  <si>
    <t>202 PLAN RASHODA</t>
  </si>
  <si>
    <t>237 OBRAZOVANJE</t>
  </si>
  <si>
    <t>23701 RAZVOJ ODGOJNO OBRAZOVNOG SUSTAVA</t>
  </si>
  <si>
    <t>A679047 Europske integracije</t>
  </si>
  <si>
    <t>3221 Uredski materijal i ostali materijalni rashodi</t>
  </si>
  <si>
    <t>Vlastiti prihodi</t>
  </si>
  <si>
    <t>202 PLAN RASHODA</t>
  </si>
  <si>
    <t>237 OBRAZOVANJE</t>
  </si>
  <si>
    <t>23701 RAZVOJ ODGOJNO OBRAZOVNOG SUSTAVA</t>
  </si>
  <si>
    <t>A679047 Europske integracije</t>
  </si>
  <si>
    <t>3231 Usluge telefona, pošte i prijevoza</t>
  </si>
  <si>
    <t>Vlastiti prihodi</t>
  </si>
  <si>
    <t>202 PLAN RASHODA</t>
  </si>
  <si>
    <t>237 OBRAZOVANJE</t>
  </si>
  <si>
    <t>23701 RAZVOJ ODGOJNO OBRAZOVNOG SUSTAVA</t>
  </si>
  <si>
    <t>A679047 Europske integracije</t>
  </si>
  <si>
    <t>3235 Zakupnine i najamnine</t>
  </si>
  <si>
    <t>Pomoći EU (51)</t>
  </si>
  <si>
    <t>202 PLAN RASHODA</t>
  </si>
  <si>
    <t>237 OBRAZOVANJE</t>
  </si>
  <si>
    <t>23701 RAZVOJ ODGOJNO OBRAZOVNOG SUSTAVA</t>
  </si>
  <si>
    <t>A679047 Europske integracije</t>
  </si>
  <si>
    <t>3237 Intelektualne i osobne usluge</t>
  </si>
  <si>
    <t>Vlastiti prihodi</t>
  </si>
  <si>
    <t>202 PLAN RASHODA</t>
  </si>
  <si>
    <t>237 OBRAZOVANJE</t>
  </si>
  <si>
    <t>23701 RAZVOJ ODGOJNO OBRAZOVNOG SUSTAVA</t>
  </si>
  <si>
    <t>A679047 Europske integracije</t>
  </si>
  <si>
    <t>3237 Intelektualne i osobne usluge</t>
  </si>
  <si>
    <t>Pomoći EU (51)</t>
  </si>
  <si>
    <t>202 PLAN RASHODA</t>
  </si>
  <si>
    <t>237 OBRAZOVANJE</t>
  </si>
  <si>
    <t>23701 RAZVOJ ODGOJNO OBRAZOVNOG SUSTAVA</t>
  </si>
  <si>
    <t>A679047 Europske integracije</t>
  </si>
  <si>
    <t>3239 Ostale usluge</t>
  </si>
  <si>
    <t>Vlastiti prihodi</t>
  </si>
  <si>
    <t>202 PLAN RASHODA</t>
  </si>
  <si>
    <t>237 OBRAZOVANJE</t>
  </si>
  <si>
    <t>23701 RAZVOJ ODGOJNO OBRAZOVNOG SUSTAVA</t>
  </si>
  <si>
    <t>A679047 Europske integracije</t>
  </si>
  <si>
    <t>3293 Reprezentacija</t>
  </si>
  <si>
    <t>Vlastiti prihodi</t>
  </si>
  <si>
    <t>202 PLAN RASHODA</t>
  </si>
  <si>
    <t>237 OBRAZOVANJE</t>
  </si>
  <si>
    <t>23701 RAZVOJ ODGOJNO OBRAZOVNOG SUSTAVA</t>
  </si>
  <si>
    <t>A679047 Europske integracije</t>
  </si>
  <si>
    <t>3293 Reprezentacija</t>
  </si>
  <si>
    <t>Pomoći EU (51)</t>
  </si>
  <si>
    <t>202 PLAN RASHODA</t>
  </si>
  <si>
    <t>237 OBRAZOVANJE</t>
  </si>
  <si>
    <t>23701 RAZVOJ ODGOJNO OBRAZOVNOG SUSTAVA</t>
  </si>
  <si>
    <t>A679047 Europske integracije</t>
  </si>
  <si>
    <t>3295 Pristojbe i naknade</t>
  </si>
  <si>
    <t>Vlastiti prihodi</t>
  </si>
  <si>
    <t>202 PLAN RASHODA</t>
  </si>
  <si>
    <t>237 OBRAZOVANJE</t>
  </si>
  <si>
    <t>23701 RAZVOJ ODGOJNO OBRAZOVNOG SUSTAVA</t>
  </si>
  <si>
    <t>A679047 Europske integracije</t>
  </si>
  <si>
    <t>3295 Pristojbe i naknade</t>
  </si>
  <si>
    <t>Pomoći EU (51)</t>
  </si>
  <si>
    <t>202 PLAN RASHODA</t>
  </si>
  <si>
    <t>237 OBRAZOVANJE</t>
  </si>
  <si>
    <t>23701 RAZVOJ ODGOJNO OBRAZOVNOG SUSTAVA</t>
  </si>
  <si>
    <t>A679047 Europske integracije</t>
  </si>
  <si>
    <t>3432 Negativne tečajne razlike i razlike zbog primjene valutne klauzule</t>
  </si>
  <si>
    <t>Pomoći EU (51)</t>
  </si>
  <si>
    <t>202 PLAN RASHODA</t>
  </si>
  <si>
    <t>237 OBRAZOVANJE</t>
  </si>
  <si>
    <t>23701 RAZVOJ ODGOJNO OBRAZOVNOG SUSTAVA</t>
  </si>
  <si>
    <t>A679047 Europske integracije</t>
  </si>
  <si>
    <t>3721 Naknade građanima i kućanstvima u novcu</t>
  </si>
  <si>
    <t>Ostale pomoći i darovnice (52)</t>
  </si>
  <si>
    <t>202 PLAN RASHODA</t>
  </si>
  <si>
    <t>237 OBRAZOVANJE</t>
  </si>
  <si>
    <t>23701 RAZVOJ ODGOJNO OBRAZOVNOG SUSTAVA</t>
  </si>
  <si>
    <t>A679047 Europske integracije</t>
  </si>
  <si>
    <t>4221 Uredska oprema i namještaj</t>
  </si>
  <si>
    <t>Vlastiti prihodi</t>
  </si>
  <si>
    <t>202 PLAN RASHODA</t>
  </si>
  <si>
    <t>237 OBRAZOVANJE</t>
  </si>
  <si>
    <t>23705 VISOKO OBRAZOVANJE</t>
  </si>
  <si>
    <t>A6210 REDOVNA DJELATNOST-MZOS</t>
  </si>
  <si>
    <t>3111 PLAĆE ZA REDOVAN RAD - BRUTO</t>
  </si>
  <si>
    <t>Opći prihodi i primici</t>
  </si>
  <si>
    <t>202 PLAN RASHODA</t>
  </si>
  <si>
    <t>237 OBRAZOVANJE</t>
  </si>
  <si>
    <t>23705 VISOKO OBRAZOVANJE</t>
  </si>
  <si>
    <t>A6210 REDOVNA DJELATNOST-MZOS</t>
  </si>
  <si>
    <t>3121 OSTALI RASHODI ZA ZAPOSLENE</t>
  </si>
  <si>
    <t>Opći prihodi i primici</t>
  </si>
  <si>
    <t>202 PLAN RASHODA</t>
  </si>
  <si>
    <t>237 OBRAZOVANJE</t>
  </si>
  <si>
    <t>23705 VISOKO OBRAZOVANJE</t>
  </si>
  <si>
    <t>A6210 REDOVNA DJELATNOST-MZOS</t>
  </si>
  <si>
    <t>3132 DOPRINOSI ZA OBVEZNO ZDRAVSTVENO OSIGURANJE</t>
  </si>
  <si>
    <t>Opći prihodi i primici</t>
  </si>
  <si>
    <t>202 PLAN RASHODA</t>
  </si>
  <si>
    <t>237 OBRAZOVANJE</t>
  </si>
  <si>
    <t>23705 VISOKO OBRAZOVANJE</t>
  </si>
  <si>
    <t>A6210 REDOVNA DJELATNOST-MZOS</t>
  </si>
  <si>
    <t>3133 DOPRINOSI ZA OBVEZNO OSIGURANJE U SLUČAJU NEZAPOSLENOSTI</t>
  </si>
  <si>
    <t>Opći prihodi i primici</t>
  </si>
  <si>
    <t>202 PLAN RASHODA</t>
  </si>
  <si>
    <t>237 OBRAZOVANJE</t>
  </si>
  <si>
    <t>23705 VISOKO OBRAZOVANJE</t>
  </si>
  <si>
    <t>A6210 REDOVNA DJELATNOST-MZOS</t>
  </si>
  <si>
    <t>3212 Naknade za prijevoz, za rad na terenu i odvojeni život</t>
  </si>
  <si>
    <t>Opći prihodi i primici</t>
  </si>
  <si>
    <t>202 PLAN RASHODA</t>
  </si>
  <si>
    <t>237 OBRAZOVANJE</t>
  </si>
  <si>
    <t>23705 VISOKO OBRAZOVANJE</t>
  </si>
  <si>
    <t>A6210 REDOVNA DJELATNOST-MZOS</t>
  </si>
  <si>
    <t>3236 Zdravstvene i veterinarske usluge</t>
  </si>
  <si>
    <t>Opći prihodi i primici</t>
  </si>
  <si>
    <t>202 PLAN RASHODA</t>
  </si>
  <si>
    <t>237 OBRAZOVANJE</t>
  </si>
  <si>
    <t>23705 VISOKO OBRAZOVANJE</t>
  </si>
  <si>
    <t>A6210 REDOVNA DJELATNOST-MZOS</t>
  </si>
  <si>
    <t>3295 Pristojbe i naknade</t>
  </si>
  <si>
    <t>Opći prihodi i primici</t>
  </si>
  <si>
    <t>202 PLAN RASHODA</t>
  </si>
  <si>
    <t>237 OBRAZOVANJE</t>
  </si>
  <si>
    <t>23705 VISOKO OBRAZOVANJE</t>
  </si>
  <si>
    <t>A621002 REDOVNA DJELATNOST SVEUČILIŠTA U RIJECI-ViNP</t>
  </si>
  <si>
    <t>3111 PLAĆE ZA REDOVAN RAD - BRUTO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</si>
  <si>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</si>
  <si>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</si>
  <si>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</si>
  <si>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</si>
  <si>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</si>
  <si>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3111 PLAĆE ZA REDOVAN RAD - BRUTO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</si>
  <si>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</si>
  <si>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</si>
  <si>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</si>
  <si>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</si>
  <si>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</si>
  <si>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3111 PLAĆE ZA REDOVAN RAD - BRUTO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</si>
  <si>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</si>
  <si>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</si>
  <si>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</si>
  <si>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</si>
  <si>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</si>
  <si>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3121 OSTALI RASHODI ZA ZAPOSLENE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</si>
  <si>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</si>
  <si>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</si>
  <si>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</si>
  <si>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</si>
  <si>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</si>
  <si>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3121 OSTALI RASHODI ZA ZAPOSLENE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</si>
  <si>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</si>
  <si>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</si>
  <si>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</si>
  <si>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</si>
  <si>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</si>
  <si>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3132 DOPRINOSI ZA OBVEZNO ZDRAVSTVENO OSIGURANJE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</si>
  <si>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</si>
  <si>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</si>
  <si>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</si>
  <si>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</si>
  <si>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</si>
  <si>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3132 DOPRINOSI ZA OBVEZNO ZDRAVSTVENO OSIGURANJE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</si>
  <si>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</si>
  <si>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</si>
  <si>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</si>
  <si>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</si>
  <si>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</si>
  <si>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3132 DOPRINOSI ZA OBVEZNO ZDRAVSTVENO OSIGURANJE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</si>
  <si>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</si>
  <si>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</si>
  <si>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</si>
  <si>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</si>
  <si>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</si>
  <si>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3133 DOPRINOSI ZA OBVEZNO OSIGURANJE U SLUČAJU NEZAPOSLENOSTI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</si>
  <si>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</si>
  <si>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</si>
  <si>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</si>
  <si>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</si>
  <si>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</si>
  <si>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3133 DOPRINOSI ZA OBVEZNO OSIGURANJE U SLUČAJU NEZAPOSLENOSTI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</si>
  <si>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</si>
  <si>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</si>
  <si>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</si>
  <si>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</si>
  <si>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</si>
  <si>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3133 DOPRINOSI ZA OBVEZNO OSIGURANJE U SLUČAJU NEZAPOSLENOSTI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</si>
  <si>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</si>
  <si>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</si>
  <si>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</si>
  <si>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</si>
  <si>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</si>
  <si>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3211 Službena putovanja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</si>
  <si>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</si>
  <si>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</si>
  <si>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</si>
  <si>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</si>
  <si>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</si>
  <si>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3211 Službena putovanja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</si>
  <si>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</si>
  <si>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</si>
  <si>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</si>
  <si>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</si>
  <si>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</si>
  <si>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3211 Službena putovanja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</si>
  <si>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</si>
  <si>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</si>
  <si>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</si>
  <si>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</si>
  <si>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</si>
  <si>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3212 Naknade za prijevoz, za rad na terenu i odvojeni život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</si>
  <si>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</si>
  <si>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</si>
  <si>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</si>
  <si>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</si>
  <si>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</si>
  <si>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3212 Naknade za prijevoz, za rad na terenu i odvojeni život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</si>
  <si>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</si>
  <si>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</si>
  <si>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</si>
  <si>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</si>
  <si>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</si>
  <si>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3213 Stručno usavršavanje zaposlenika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</si>
  <si>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</si>
  <si>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</si>
  <si>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</si>
  <si>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</si>
  <si>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</si>
  <si>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3213 Stručno usavršavanje zaposlenika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</si>
  <si>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</si>
  <si>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</si>
  <si>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</si>
  <si>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</si>
  <si>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</si>
  <si>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3213 Stručno usavršavanje zaposlenika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</si>
  <si>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</si>
  <si>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</si>
  <si>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</si>
  <si>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</si>
  <si>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</si>
  <si>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3221 Uredski materijal i ostali materijalni rashodi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</si>
  <si>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</si>
  <si>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</si>
  <si>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</si>
  <si>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</si>
  <si>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</si>
  <si>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3221 Uredski materijal i ostali materijalni rashodi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</si>
  <si>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</si>
  <si>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</si>
  <si>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</si>
  <si>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</si>
  <si>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</si>
  <si>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3221 Uredski materijal i ostali materijalni rashodi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</si>
  <si>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</si>
  <si>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</si>
  <si>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</si>
  <si>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</si>
  <si>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</si>
  <si>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3222 Materijal i sirovine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</si>
  <si>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</si>
  <si>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</si>
  <si>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</si>
  <si>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</si>
  <si>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</si>
  <si>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3223 Energija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</si>
  <si>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</si>
  <si>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</si>
  <si>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</si>
  <si>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</si>
  <si>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</si>
  <si>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3223 Energija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</si>
  <si>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</si>
  <si>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</si>
  <si>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</si>
  <si>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</si>
  <si>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</si>
  <si>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3223 Energija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</si>
  <si>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</si>
  <si>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</si>
  <si>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</si>
  <si>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</si>
  <si>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</si>
  <si>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3224 Materijal i dijelovi za tekuće i investicijsko održavanje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</si>
  <si>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</si>
  <si>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</si>
  <si>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</si>
  <si>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</si>
  <si>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</si>
  <si>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3224 Materijal i dijelovi za tekuće i investicijsko održavanje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</si>
  <si>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</si>
  <si>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</si>
  <si>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</si>
  <si>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</si>
  <si>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</si>
  <si>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3227 Službena, radna i zaštitna odjeća i obuća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</si>
  <si>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</si>
  <si>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</si>
  <si>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</si>
  <si>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</si>
  <si>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</si>
  <si>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3231 Usluge telefona, pošte i prijevoza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</si>
  <si>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</si>
  <si>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</si>
  <si>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</si>
  <si>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</si>
  <si>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</si>
  <si>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3231 Usluge telefona, pošte i prijevoza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</si>
  <si>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</si>
  <si>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</si>
  <si>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</si>
  <si>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</si>
  <si>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</si>
  <si>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3231 Usluge telefona, pošte i prijevoza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</si>
  <si>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</si>
  <si>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</si>
  <si>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</si>
  <si>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</si>
  <si>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</si>
  <si>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3232 Usluge tekućeg i investicijskog održavanja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</si>
  <si>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</si>
  <si>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</si>
  <si>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</si>
  <si>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</si>
  <si>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</si>
  <si>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3232 Usluge tekućeg i investicijskog održavanja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</si>
  <si>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</si>
  <si>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</si>
  <si>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</si>
  <si>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</si>
  <si>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</si>
  <si>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3232 Usluge tekućeg i investicijskog održavanja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</si>
  <si>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</si>
  <si>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</si>
  <si>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</si>
  <si>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</si>
  <si>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</si>
  <si>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3233 Usluge promidžbe i informiranja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</si>
  <si>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</si>
  <si>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</si>
  <si>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</si>
  <si>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</si>
  <si>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</si>
  <si>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3233 Usluge promidžbe i informiranja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</si>
  <si>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</si>
  <si>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</si>
  <si>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</si>
  <si>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</si>
  <si>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</si>
  <si>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3234 Komunalne usluge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</si>
  <si>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</si>
  <si>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</si>
  <si>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</si>
  <si>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</si>
  <si>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</si>
  <si>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3234 Komunalne usluge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</si>
  <si>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</si>
  <si>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</si>
  <si>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</si>
  <si>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</si>
  <si>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</si>
  <si>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3235 Zakupnine i najamnine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</si>
  <si>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</si>
  <si>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</si>
  <si>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</si>
  <si>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</si>
  <si>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</si>
  <si>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3235 Zakupnine i najamnine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</si>
  <si>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</si>
  <si>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</si>
  <si>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</si>
  <si>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</si>
  <si>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</si>
  <si>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3235 Zakupnine i najamnine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</si>
  <si>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</si>
  <si>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</si>
  <si>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</si>
  <si>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</si>
  <si>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</si>
  <si>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3236 Zdravstvene i veterinarske usluge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</si>
  <si>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</si>
  <si>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</si>
  <si>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</si>
  <si>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</si>
  <si>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</si>
  <si>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3236 Zdravstvene i veterinarske usluge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</si>
  <si>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</si>
  <si>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</si>
  <si>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</si>
  <si>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</si>
  <si>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</si>
  <si>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3237 Intelektualne i osobne usluge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</si>
  <si>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</si>
  <si>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</si>
  <si>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</si>
  <si>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</si>
  <si>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</si>
  <si>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3237 Intelektualne i osobne usluge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</si>
  <si>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</si>
  <si>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</si>
  <si>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</si>
  <si>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</si>
  <si>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</si>
  <si>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3237 Intelektualne i osobne usluge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</si>
  <si>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</si>
  <si>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</si>
  <si>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</si>
  <si>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</si>
  <si>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</si>
  <si>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3238 Računalne usluge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</si>
  <si>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</si>
  <si>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</si>
  <si>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</si>
  <si>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</si>
  <si>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</si>
  <si>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3239 Ostale usluge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</si>
  <si>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</si>
  <si>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</si>
  <si>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</si>
  <si>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</si>
  <si>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</si>
  <si>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3239 Ostale usluge</t>
  </si>
  <si>
    <t>Donacije (6)</t>
  </si>
  <si>
    <t>202 PLAN RASHODA</t>
  </si>
  <si>
    <t>237 OBRAZOVANJE</t>
  </si>
  <si>
    <t>23705 VISOKO OBRAZOVANJE</t>
  </si>
  <si>
    <t>A621002 REDOVNA DJELATNOST SVEUČILIŠTA U RIJECI-ViNP</t>
  </si>
  <si>
    <t>3239 Ostale usluge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</si>
  <si>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</si>
  <si>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</si>
  <si>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</si>
  <si>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</si>
  <si>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</si>
  <si>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3239 Ostale usluge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</si>
  <si>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</si>
  <si>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</si>
  <si>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</si>
  <si>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</si>
  <si>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</si>
  <si>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3241 Naknade troškova osobama izvan radnog odnosa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</si>
  <si>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</si>
  <si>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</si>
  <si>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</si>
  <si>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</si>
  <si>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</si>
  <si>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3241 Naknade troškova osobama izvan radnog odnosa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</si>
  <si>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</si>
  <si>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</si>
  <si>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</si>
  <si>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</si>
  <si>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</si>
  <si>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3292 Premije osiguranja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</si>
  <si>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</si>
  <si>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</si>
  <si>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</si>
  <si>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</si>
  <si>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</si>
  <si>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3292 Premije osiguranja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</si>
  <si>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</si>
  <si>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</si>
  <si>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</si>
  <si>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</si>
  <si>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</si>
  <si>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3293 Reprezentacija</t>
  </si>
  <si>
    <t>Donacije (6)</t>
  </si>
  <si>
    <t>202 PLAN RASHODA</t>
  </si>
  <si>
    <t>237 OBRAZOVANJE</t>
  </si>
  <si>
    <t>23705 VISOKO OBRAZOVANJE</t>
  </si>
  <si>
    <t>A621002 REDOVNA DJELATNOST SVEUČILIŠTA U RIJECI-ViNP</t>
  </si>
  <si>
    <t>3293 Reprezentacija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</si>
  <si>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</si>
  <si>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</si>
  <si>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</si>
  <si>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</si>
  <si>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</si>
  <si>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3293 Reprezentacija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</si>
  <si>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</si>
  <si>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</si>
  <si>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</si>
  <si>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</si>
  <si>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</si>
  <si>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3293 Reprezentacija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</si>
  <si>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</si>
  <si>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</si>
  <si>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</si>
  <si>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</si>
  <si>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</si>
  <si>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3294 Članarine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</si>
  <si>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</si>
  <si>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</si>
  <si>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</si>
  <si>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</si>
  <si>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</si>
  <si>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3294 Članarine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</si>
  <si>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</si>
  <si>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</si>
  <si>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</si>
  <si>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</si>
  <si>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</si>
  <si>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3294 Članarine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</si>
  <si>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</si>
  <si>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</si>
  <si>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</si>
  <si>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</si>
  <si>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</si>
  <si>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3295 Pristojbe i naknade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</si>
  <si>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</si>
  <si>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</si>
  <si>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</si>
  <si>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</si>
  <si>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</si>
  <si>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3295 Pristojbe i naknade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</si>
  <si>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</si>
  <si>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</si>
  <si>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</si>
  <si>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</si>
  <si>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</si>
  <si>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3295 Pristojbe i naknade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</si>
  <si>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</si>
  <si>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</si>
  <si>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</si>
  <si>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</si>
  <si>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</si>
  <si>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3299 Ostali nespomenuti rashodi poslovanja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</si>
  <si>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</si>
  <si>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</si>
  <si>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</si>
  <si>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</si>
  <si>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</si>
  <si>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3299 Ostali nespomenuti rashodi poslovanja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</si>
  <si>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</si>
  <si>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</si>
  <si>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</si>
  <si>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</si>
  <si>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</si>
  <si>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3299 Ostali nespomenuti rashodi poslovanja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</si>
  <si>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</si>
  <si>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</si>
  <si>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</si>
  <si>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</si>
  <si>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</si>
  <si>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3431 Bankarske usluge i usluge platnog prometa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</si>
  <si>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</si>
  <si>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</si>
  <si>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</si>
  <si>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</si>
  <si>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</si>
  <si>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3431 Bankarske usluge i usluge platnog prometa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</si>
  <si>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</si>
  <si>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</si>
  <si>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</si>
  <si>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</si>
  <si>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</si>
  <si>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3432 Negativne tečajne razlike i razlike zbog primjene valutne klauzule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</si>
  <si>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</si>
  <si>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</si>
  <si>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</si>
  <si>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</si>
  <si>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</si>
  <si>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3432 Negativne tečajne razlike i razlike zbog primjene valutne klauzule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</si>
  <si>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</si>
  <si>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</si>
  <si>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</si>
  <si>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</si>
  <si>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</si>
  <si>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3432 Negativne tečajne razlike i razlike zbog primjene valutne klauzule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</si>
  <si>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</si>
  <si>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</si>
  <si>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</si>
  <si>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</si>
  <si>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</si>
  <si>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3434 Ostali nespomenuti financijski rashodi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</si>
  <si>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</si>
  <si>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</si>
  <si>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</si>
  <si>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</si>
  <si>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</si>
  <si>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3691 Prijenosi između pror. korisnika istog proračuna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</si>
  <si>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</si>
  <si>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</si>
  <si>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</si>
  <si>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</si>
  <si>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</si>
  <si>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3721 Naknade građanima i kućanstvima u novcu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</si>
  <si>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</si>
  <si>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</si>
  <si>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</si>
  <si>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</si>
  <si>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</si>
  <si>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3722 Naknade građanima i kućanstvima u naravi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</si>
  <si>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</si>
  <si>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</si>
  <si>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</si>
  <si>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</si>
  <si>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</si>
  <si>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3811 Tekuće donacije u novcu</t>
  </si>
  <si>
    <t>Donacije (6)</t>
  </si>
  <si>
    <t>202 PLAN RASHODA</t>
  </si>
  <si>
    <t>237 OBRAZOVANJE</t>
  </si>
  <si>
    <t>23705 VISOKO OBRAZOVANJE</t>
  </si>
  <si>
    <t>A621002 REDOVNA DJELATNOST SVEUČILIŠTA U RIJECI-ViNP</t>
  </si>
  <si>
    <t>3811 Tekuće donacije u novcu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</si>
  <si>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</si>
  <si>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</si>
  <si>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</si>
  <si>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</si>
  <si>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</si>
  <si>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3811 Tekuće donacije u novcu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</si>
  <si>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</si>
  <si>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</si>
  <si>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</si>
  <si>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</si>
  <si>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</si>
  <si>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3811 Tekuće donacije u novcu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</si>
  <si>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</si>
  <si>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</si>
  <si>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</si>
  <si>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</si>
  <si>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</si>
  <si>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3831 Naknade šteta pravnim i fizičkim osobama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</si>
  <si>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</si>
  <si>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</si>
  <si>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</si>
  <si>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</si>
  <si>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</si>
  <si>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4123 Licence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</si>
  <si>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</si>
  <si>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</si>
  <si>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</si>
  <si>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</si>
  <si>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</si>
  <si>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4123 Licence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</si>
  <si>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</si>
  <si>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</si>
  <si>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</si>
  <si>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</si>
  <si>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</si>
  <si>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4221 Uredska oprema i namještaj</t>
  </si>
  <si>
    <t>Prodaja ili zamjena nefinancijske imovine (7)</t>
  </si>
  <si>
    <t>202 PLAN RASHODA</t>
  </si>
  <si>
    <t>237 OBRAZOVANJE</t>
  </si>
  <si>
    <t>23705 VISOKO OBRAZOVANJE</t>
  </si>
  <si>
    <t>A621002 REDOVNA DJELATNOST SVEUČILIŠTA U RIJECI-ViNP</t>
  </si>
  <si>
    <t>4221 Uredska oprema i namještaj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</si>
  <si>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</si>
  <si>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</si>
  <si>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</si>
  <si>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</si>
  <si>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</si>
  <si>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4221 Uredska oprema i namještaj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</si>
  <si>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</si>
  <si>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</si>
  <si>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</si>
  <si>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</si>
  <si>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</si>
  <si>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4221 Uredska oprema i namještaj</t>
  </si>
  <si>
    <t>Donacije (6)</t>
  </si>
  <si>
    <t>202 PLAN RASHODA</t>
  </si>
  <si>
    <t>237 OBRAZOVANJE</t>
  </si>
  <si>
    <t>23705 VISOKO OBRAZOVANJE</t>
  </si>
  <si>
    <t>A621002 REDOVNA DJELATNOST SVEUČILIŠTA U RIJECI-ViNP</t>
  </si>
  <si>
    <t>4221 Uredska oprema i namještaj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</si>
  <si>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</si>
  <si>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</si>
  <si>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</si>
  <si>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</si>
  <si>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</si>
  <si>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4222 Komunikacijska oprema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</si>
  <si>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</si>
  <si>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</si>
  <si>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</si>
  <si>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</si>
  <si>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</si>
  <si>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4222 Komunikacijska oprema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</si>
  <si>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</si>
  <si>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</si>
  <si>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</si>
  <si>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</si>
  <si>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</si>
  <si>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4223 Oprema za održavanje i zaštitu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</si>
  <si>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</si>
  <si>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</si>
  <si>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</si>
  <si>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</si>
  <si>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</si>
  <si>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4223 Oprema za održavanje i zaštitu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</si>
  <si>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</si>
  <si>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</si>
  <si>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</si>
  <si>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</si>
  <si>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</si>
  <si>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4224 Medicinska i laboratorijska oprema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</si>
  <si>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</si>
  <si>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</si>
  <si>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</si>
  <si>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</si>
  <si>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</si>
  <si>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4224 Medicinska i laboratorijska oprema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</si>
  <si>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</si>
  <si>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</si>
  <si>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</si>
  <si>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</si>
  <si>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</si>
  <si>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4225 Instrumenti, uređaji i strojevi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</si>
  <si>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</si>
  <si>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</si>
  <si>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</si>
  <si>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</si>
  <si>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</si>
  <si>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4227 Uređaji, strojevi i oprema za ostale namjene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</si>
  <si>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</si>
  <si>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</si>
  <si>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</si>
  <si>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</si>
  <si>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</si>
  <si>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4227 Uređaji, strojevi i oprema za ostale namjene</t>
  </si>
  <si>
    <t>Prodaja ili zamjena nefinancijske imovine (7)</t>
  </si>
  <si>
    <t>202 PLAN RASHODA</t>
  </si>
  <si>
    <t>237 OBRAZOVANJE</t>
  </si>
  <si>
    <t>23705 VISOKO OBRAZOVANJE</t>
  </si>
  <si>
    <t>A621002 REDOVNA DJELATNOST SVEUČILIŠTA U RIJECI-ViNP</t>
  </si>
  <si>
    <t>4233 Prijevozna sredstva u pomorskom i riječnom prometu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</si>
  <si>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</si>
  <si>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</si>
  <si>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</si>
  <si>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</si>
  <si>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</si>
  <si>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4241 Knjige</t>
  </si>
  <si>
    <t>Donacije (6)</t>
  </si>
  <si>
    <t>202 PLAN RASHODA</t>
  </si>
  <si>
    <t>237 OBRAZOVANJE</t>
  </si>
  <si>
    <t>23705 VISOKO OBRAZOVANJE</t>
  </si>
  <si>
    <t>A621002 REDOVNA DJELATNOST SVEUČILIŠTA U RIJECI-ViNP</t>
  </si>
  <si>
    <t>4241 Knjige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</si>
  <si>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</si>
  <si>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</si>
  <si>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</si>
  <si>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</si>
  <si>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</si>
  <si>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4241 Knjige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</si>
  <si>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</si>
  <si>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</si>
  <si>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</si>
  <si>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</si>
  <si>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</si>
  <si>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4241 Knjige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</si>
  <si>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</si>
  <si>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</si>
  <si>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</si>
  <si>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</si>
  <si>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</si>
  <si>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4264 Ostala nematerijalna proizvedena imovina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</si>
  <si>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</si>
  <si>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</si>
  <si>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</si>
  <si>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</si>
  <si>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</si>
  <si>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4264 Ostala nematerijalna proizvedena imovina</t>
  </si>
  <si>
    <t>Ostali prihodi za posebne namjene</t>
  </si>
  <si>
    <t>202 PLAN RASHODA</t>
  </si>
  <si>
    <t>237 OBRAZOVANJE</t>
  </si>
  <si>
    <t>23705 VISOKO OBRAZOVANJE</t>
  </si>
  <si>
    <t>A622122 PROGRAMSKO FINANCIRANJE JAVNIH VISOKIH UČILIŠTA</t>
  </si>
  <si>
    <t>3111 PLAĆE ZA REDOVAN RAD - BRUTO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</si>
  <si>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</si>
  <si>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</si>
  <si>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</si>
  <si>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</si>
  <si>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</si>
  <si>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3132 DOPRINOSI ZA OBVEZNO ZDRAVSTVENO OSIGURANJE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</si>
  <si>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</si>
  <si>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</si>
  <si>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</si>
  <si>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</si>
  <si>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</si>
  <si>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3133 DOPRINOSI ZA OBVEZNO OSIGURANJE U SLUČAJU NEZAPOSLENOSTI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</si>
  <si>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</si>
  <si>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</si>
  <si>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</si>
  <si>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</si>
  <si>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</si>
  <si>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3211 Službena putovanja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</si>
  <si>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</si>
  <si>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</si>
  <si>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</si>
  <si>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</si>
  <si>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</si>
  <si>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3213 Stručno usavršavanje zaposlenika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</si>
  <si>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</si>
  <si>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</si>
  <si>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</si>
  <si>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</si>
  <si>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</si>
  <si>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3221 Uredski materijal i ostali materijalni rashodi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</si>
  <si>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</si>
  <si>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</si>
  <si>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</si>
  <si>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</si>
  <si>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</si>
  <si>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3222 Materijal i sirovine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</si>
  <si>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</si>
  <si>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</si>
  <si>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</si>
  <si>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</si>
  <si>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</si>
  <si>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3223 Energija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</si>
  <si>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</si>
  <si>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</si>
  <si>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</si>
  <si>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</si>
  <si>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</si>
  <si>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3224 Materijal i dijelovi za tekuće i investicijsko održavanje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</si>
  <si>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</si>
  <si>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</si>
  <si>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</si>
  <si>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</si>
  <si>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</si>
  <si>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3227 Službena, radna i zaštitna odjeća i obuća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</si>
  <si>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</si>
  <si>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</si>
  <si>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</si>
  <si>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</si>
  <si>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</si>
  <si>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3231 Usluge telefona, pošte i prijevoza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</si>
  <si>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</si>
  <si>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</si>
  <si>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</si>
  <si>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</si>
  <si>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</si>
  <si>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3232 Usluge tekućeg i investicijskog održavanja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</si>
  <si>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</si>
  <si>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</si>
  <si>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</si>
  <si>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</si>
  <si>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</si>
  <si>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3233 Usluge promidžbe i informiranja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</si>
  <si>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</si>
  <si>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</si>
  <si>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</si>
  <si>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</si>
  <si>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</si>
  <si>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3234 Komunalne usluge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</si>
  <si>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</si>
  <si>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</si>
  <si>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</si>
  <si>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</si>
  <si>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</si>
  <si>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3235 Zakupnine i najamnine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</si>
  <si>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</si>
  <si>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</si>
  <si>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</si>
  <si>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</si>
  <si>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</si>
  <si>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3237 Intelektualne i osobne usluge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</si>
  <si>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</si>
  <si>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</si>
  <si>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</si>
  <si>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</si>
  <si>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</si>
  <si>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3238 Računalne usluge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</si>
  <si>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</si>
  <si>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</si>
  <si>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</si>
  <si>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</si>
  <si>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</si>
  <si>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3239 Ostale usluge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</si>
  <si>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</si>
  <si>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</si>
  <si>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</si>
  <si>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</si>
  <si>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</si>
  <si>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3292 Premije osiguranja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</si>
  <si>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</si>
  <si>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</si>
  <si>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</si>
  <si>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</si>
  <si>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</si>
  <si>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3293 Reprezentacija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</si>
  <si>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</si>
  <si>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</si>
  <si>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</si>
  <si>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</si>
  <si>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</si>
  <si>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3294 Članarine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</si>
  <si>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</si>
  <si>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</si>
  <si>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</si>
  <si>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</si>
  <si>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</si>
  <si>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3295 Pristojbe i naknade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</si>
  <si>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</si>
  <si>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</si>
  <si>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</si>
  <si>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</si>
  <si>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</si>
  <si>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3299 Ostali nespomenuti rashodi poslovanja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</si>
  <si>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</si>
  <si>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</si>
  <si>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</si>
  <si>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</si>
  <si>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</si>
  <si>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3431 Bankarske usluge i usluge platnog prometa</t>
  </si>
  <si>
    <t>Opći prihodi i primici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</si>
  <si>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</si>
  <si>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</si>
  <si>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</si>
  <si>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</si>
  <si>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3132 DOPRINOSI ZA OBVEZNO ZDRAVSTVENO OSIGURANJE</t>
  </si>
  <si>
    <t>Ostali prihodi za posebne namjene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</si>
  <si>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</si>
  <si>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</si>
  <si>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</si>
  <si>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</si>
  <si>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3211 Službena putovanja</t>
  </si>
  <si>
    <t>Vlastiti prihodi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</si>
  <si>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</si>
  <si>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</si>
  <si>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</si>
  <si>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</si>
  <si>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3211 Službena putovanja</t>
  </si>
  <si>
    <t>Ostali prihodi za posebne namjene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</si>
  <si>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</si>
  <si>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</si>
  <si>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</si>
  <si>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</si>
  <si>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3211 Službena putovanja</t>
  </si>
  <si>
    <t>Opći prihodi i primici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</si>
  <si>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</si>
  <si>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</si>
  <si>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</si>
  <si>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</si>
  <si>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3213 Stručno usavršavanje zaposlenika</t>
  </si>
  <si>
    <t>Ostali prihodi za posebne namjene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</si>
  <si>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</si>
  <si>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</si>
  <si>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</si>
  <si>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</si>
  <si>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3213 Stručno usavršavanje zaposlenika</t>
  </si>
  <si>
    <t>Opći prihodi i primici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</si>
  <si>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</si>
  <si>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</si>
  <si>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</si>
  <si>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</si>
  <si>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3221 Uredski materijal i ostali materijalni rashodi</t>
  </si>
  <si>
    <t>Opći prihodi i primici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</si>
  <si>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</si>
  <si>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</si>
  <si>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</si>
  <si>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</si>
  <si>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3221 Uredski materijal i ostali materijalni rashodi</t>
  </si>
  <si>
    <t>Ostali prihodi za posebne namjene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</si>
  <si>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</si>
  <si>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</si>
  <si>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</si>
  <si>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</si>
  <si>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3233 Usluge promidžbe i informiranja</t>
  </si>
  <si>
    <t>Ostali prihodi za posebne namjene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</si>
  <si>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</si>
  <si>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</si>
  <si>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</si>
  <si>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</si>
  <si>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3235 Zakupnine i najamnine</t>
  </si>
  <si>
    <t>Opći prihodi i primici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</si>
  <si>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</si>
  <si>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</si>
  <si>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</si>
  <si>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</si>
  <si>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3237 Intelektualne i osobne usluge</t>
  </si>
  <si>
    <t>Opći prihodi i primici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</si>
  <si>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</si>
  <si>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</si>
  <si>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</si>
  <si>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</si>
  <si>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3237 Intelektualne i osobne usluge</t>
  </si>
  <si>
    <t>Vlastiti prihodi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</si>
  <si>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</si>
  <si>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</si>
  <si>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</si>
  <si>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</si>
  <si>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3237 Intelektualne i osobne usluge</t>
  </si>
  <si>
    <t>Ostali prihodi za posebne namjene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</si>
  <si>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</si>
  <si>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</si>
  <si>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</si>
  <si>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</si>
  <si>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3239 Ostale usluge</t>
  </si>
  <si>
    <t>Opći prihodi i primici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</si>
  <si>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</si>
  <si>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</si>
  <si>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</si>
  <si>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</si>
  <si>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3239 Ostale usluge</t>
  </si>
  <si>
    <t>Ostali prihodi za posebne namjene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</si>
  <si>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</si>
  <si>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</si>
  <si>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</si>
  <si>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</si>
  <si>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3292 Premije osiguranja</t>
  </si>
  <si>
    <t>Ostali prihodi za posebne namjene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</si>
  <si>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</si>
  <si>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</si>
  <si>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</si>
  <si>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</si>
  <si>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3293 Reprezentacija</t>
  </si>
  <si>
    <t>Ostali prihodi za posebne namjene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</si>
  <si>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</si>
  <si>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</si>
  <si>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</si>
  <si>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</si>
  <si>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3294 Članarine</t>
  </si>
  <si>
    <t>Ostali prihodi za posebne namjene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</si>
  <si>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</si>
  <si>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</si>
  <si>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</si>
  <si>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</si>
  <si>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3431 Bankarske usluge i usluge platnog prometa</t>
  </si>
  <si>
    <t>Opći prihodi i primici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</si>
  <si>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</si>
  <si>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</si>
  <si>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</si>
  <si>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</si>
  <si>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3432 Negativne tečajne razlike i razlike zbog primjene valutne klauzule</t>
  </si>
  <si>
    <t>Ostali prihodi za posebne namjene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</si>
  <si>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</si>
  <si>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</si>
  <si>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</si>
  <si>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</si>
  <si>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4221 Uredska oprema i namještaj</t>
  </si>
  <si>
    <t>Opći prihodi i primici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</si>
  <si>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</si>
  <si>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</si>
  <si>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</si>
  <si>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</si>
  <si>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4221 Uredska oprema i namještaj</t>
  </si>
  <si>
    <t>Ostali prihodi za posebne namjene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</si>
  <si>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</si>
  <si>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</si>
  <si>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</si>
  <si>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</si>
  <si>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4227 Uređaji, strojevi i oprema za ostale namjene</t>
  </si>
  <si>
    <t>Opći prihodi i primici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</si>
  <si>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</si>
  <si>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</si>
  <si>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</si>
  <si>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</si>
  <si>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4241 Knjige</t>
  </si>
  <si>
    <t>Ostali prihodi za posebne namjene</t>
  </si>
  <si>
    <t>202 PLAN RASHODA</t>
  </si>
  <si>
    <t>238 ZNANOST I TEHNOLOŠKI RAZVOJ</t>
  </si>
  <si>
    <t>23801 ULAGANJE U ZNANSTVENO ISTRAŽIVAČKU DJELATNOST</t>
  </si>
  <si>
    <t>A622004 IZDAVANJE DOMAĆIH ZNANSTVENIH ČASOPISA</t>
  </si>
  <si>
    <t>3111 PLAĆE ZA REDOVAN RAD - BRUTO</t>
  </si>
  <si>
    <t>Vlastiti prihodi</t>
  </si>
  <si>
    <t>202 PLAN RASHODA</t>
  </si>
  <si>
    <t>238 ZNANOST I TEHNOLOŠKI RAZVOJ</t>
  </si>
  <si>
    <t>23801 ULAGANJE U ZNANSTVENO ISTRAŽIVAČKU DJELATNOST</t>
  </si>
  <si>
    <t>A622004 IZDAVANJE DOMAĆIH ZNANSTVENIH ČASOPISA</t>
  </si>
  <si>
    <t>3111 PLAĆE ZA REDOVAN RAD - BRUTO</t>
  </si>
  <si>
    <t>Ostale pomoći i darovnice (52)</t>
  </si>
  <si>
    <t>202 PLAN RASHODA</t>
  </si>
  <si>
    <t>238 ZNANOST I TEHNOLOŠKI RAZVOJ</t>
  </si>
  <si>
    <t>23801 ULAGANJE U ZNANSTVENO ISTRAŽIVAČKU DJELATNOST</t>
  </si>
  <si>
    <t>A622004 IZDAVANJE DOMAĆIH ZNANSTVENIH ČASOPISA</t>
  </si>
  <si>
    <t>3132 DOPRINOSI ZA OBVEZNO ZDRAVSTVENO OSIGURANJE</t>
  </si>
  <si>
    <t>Vlastiti prihodi</t>
  </si>
  <si>
    <t>202 PLAN RASHODA</t>
  </si>
  <si>
    <t>238 ZNANOST I TEHNOLOŠKI RAZVOJ</t>
  </si>
  <si>
    <t>23801 ULAGANJE U ZNANSTVENO ISTRAŽIVAČKU DJELATNOST</t>
  </si>
  <si>
    <t>A622004 IZDAVANJE DOMAĆIH ZNANSTVENIH ČASOPISA</t>
  </si>
  <si>
    <t>3133 DOPRINOSI ZA OBVEZNO OSIGURANJE U SLUČAJU NEZAPOSLENOSTI</t>
  </si>
  <si>
    <t>Vlastiti prihodi</t>
  </si>
  <si>
    <t>202 PLAN RASHODA</t>
  </si>
  <si>
    <t>238 ZNANOST I TEHNOLOŠKI RAZVOJ</t>
  </si>
  <si>
    <t>23801 ULAGANJE U ZNANSTVENO ISTRAŽIVAČKU DJELATNOST</t>
  </si>
  <si>
    <t>A622004 IZDAVANJE DOMAĆIH ZNANSTVENIH ČASOPISA</t>
  </si>
  <si>
    <t>3237 Intelektualne i osobne usluge</t>
  </si>
  <si>
    <t>Vlastiti prihodi</t>
  </si>
  <si>
    <t>202 PLAN RASHODA</t>
  </si>
  <si>
    <t>238 ZNANOST I TEHNOLOŠKI RAZVOJ</t>
  </si>
  <si>
    <t>23801 ULAGANJE U ZNANSTVENO ISTRAŽIVAČKU DJELATNOST</t>
  </si>
  <si>
    <t>A622004 IZDAVANJE DOMAĆIH ZNANSTVENIH ČASOPISA</t>
  </si>
  <si>
    <t>3237 Intelektualne i osobne usluge</t>
  </si>
  <si>
    <t>Ostale pomoći i darovnice (52)</t>
  </si>
  <si>
    <t>202 PLAN RASHODA</t>
  </si>
  <si>
    <t>238 ZNANOST I TEHNOLOŠKI RAZVOJ</t>
  </si>
  <si>
    <t>23801 ULAGANJE U ZNANSTVENO ISTRAŽIVAČKU DJELATNOST</t>
  </si>
  <si>
    <t>A622004 IZDAVANJE DOMAĆIH ZNANSTVENIH ČASOPISA</t>
  </si>
  <si>
    <t>3239 Ostale usluge</t>
  </si>
  <si>
    <t>Ostale pomoći i darovnice (52)</t>
  </si>
  <si>
    <t>202 PLAN RASHODA</t>
  </si>
  <si>
    <t>238 ZNANOST I TEHNOLOŠKI RAZVOJ</t>
  </si>
  <si>
    <t>23801 ULAGANJE U ZNANSTVENO ISTRAŽIVAČKU DJELATNOST</t>
  </si>
  <si>
    <t>A622004 IZDAVANJE DOMAĆIH ZNANSTVENIH ČASOPISA</t>
  </si>
  <si>
    <t>3239 Ostale usluge</t>
  </si>
  <si>
    <t>Vlastiti prihodi</t>
  </si>
  <si>
    <t>202 PLAN RASHODA</t>
  </si>
  <si>
    <t>238 ZNANOST I TEHNOLOŠKI RAZVOJ</t>
  </si>
  <si>
    <t>23801 ULAGANJE U ZNANSTVENO ISTRAŽIVAČKU DJELATNOST</t>
  </si>
  <si>
    <t>A622005 Organiziranje i održavanje znanstvenih skupova</t>
  </si>
  <si>
    <t>3235 Zakupnine i najamnine</t>
  </si>
  <si>
    <t>Vlastiti prihodi</t>
  </si>
  <si>
    <t>202 PLAN RASHODA</t>
  </si>
  <si>
    <t>238 ZNANOST I TEHNOLOŠKI RAZVOJ</t>
  </si>
  <si>
    <t>23801 ULAGANJE U ZNANSTVENO ISTRAŽIVAČKU DJELATNOST</t>
  </si>
  <si>
    <t>A622005 Organiziranje i održavanje znanstvenih skupova</t>
  </si>
  <si>
    <t>3237 Intelektualne i osobne usluge</t>
  </si>
  <si>
    <t>Vlastiti prihodi</t>
  </si>
  <si>
    <t>202 PLAN RASHODA</t>
  </si>
  <si>
    <t>238 ZNANOST I TEHNOLOŠKI RAZVOJ</t>
  </si>
  <si>
    <t>23801 ULAGANJE U ZNANSTVENO ISTRAŽIVAČKU DJELATNOST</t>
  </si>
  <si>
    <t>A622005 Organiziranje i održavanje znanstvenih skupova</t>
  </si>
  <si>
    <t>3241 Naknade troškova osobama izvan radnog odnosa</t>
  </si>
  <si>
    <t>Vlastiti prihodi</t>
  </si>
  <si>
    <t>202 PLAN RASHODA</t>
  </si>
  <si>
    <t>238 ZNANOST I TEHNOLOŠKI RAZVOJ</t>
  </si>
  <si>
    <t>23801 ULAGANJE U ZNANSTVENO ISTRAŽIVAČKU DJELATNOST</t>
  </si>
  <si>
    <t>A622005 Organiziranje i održavanje znanstvenih skupova</t>
  </si>
  <si>
    <t>3293 Reprezentacija</t>
  </si>
  <si>
    <t>Vlastiti prihodi</t>
  </si>
  <si>
    <t>202 PLAN RASHODA</t>
  </si>
  <si>
    <t>238 ZNANOST I TEHNOLOŠKI RAZVOJ</t>
  </si>
  <si>
    <t>23801 ULAGANJE U ZNANSTVENO ISTRAŽIVAČKU DJELATNOST</t>
  </si>
  <si>
    <t>A622005 Organiziranje i održavanje znanstvenih skupova</t>
  </si>
  <si>
    <t>3432 Negativne tečajne razlike i razlike zbog primjene valutne klauzule</t>
  </si>
  <si>
    <t>Vlastiti prihodi</t>
  </si>
  <si>
    <t>202 PLAN RASHODA</t>
  </si>
  <si>
    <t>238 ZNANOST I TEHNOLOŠKI RAZVOJ</t>
  </si>
  <si>
    <t>23801 ULAGANJE U ZNANSTVENO ISTRAŽIVAČKU DJELATNOST</t>
  </si>
  <si>
    <t>A622005 Organiziranje i održavanje znanstvenih skupova</t>
  </si>
  <si>
    <t>3811 Tekuće donacije u novcu</t>
  </si>
  <si>
    <t>Vlastiti prihodi</t>
  </si>
  <si>
    <t>202 PLAN RASHODA</t>
  </si>
  <si>
    <t>238 ZNANOST I TEHNOLOŠKI RAZVOJ</t>
  </si>
  <si>
    <t>23801 ULAGANJE U ZNANSTVENO ISTRAŽIVAČKU DJELATNOST</t>
  </si>
  <si>
    <t>A622006 IZDAVANJE ZNANSTVENIH UDŽBENIKA</t>
  </si>
  <si>
    <t>3111 PLAĆE ZA REDOVAN RAD - BRUTO</t>
  </si>
  <si>
    <t>Ostale pomoći i darovnice (52)</t>
  </si>
  <si>
    <t>202 PLAN RASHODA</t>
  </si>
  <si>
    <t>238 ZNANOST I TEHNOLOŠKI RAZVOJ</t>
  </si>
  <si>
    <t>23801 ULAGANJE U ZNANSTVENO ISTRAŽIVAČKU DJELATNOST</t>
  </si>
  <si>
    <t>A622006 IZDAVANJE ZNANSTVENIH UDŽBENIKA</t>
  </si>
  <si>
    <t>3132 DOPRINOSI ZA OBVEZNO ZDRAVSTVENO OSIGURANJE</t>
  </si>
  <si>
    <t>Ostale pomoći i darovnice (52)</t>
  </si>
  <si>
    <t>202 PLAN RASHODA</t>
  </si>
  <si>
    <t>238 ZNANOST I TEHNOLOŠKI RAZVOJ</t>
  </si>
  <si>
    <t>23801 ULAGANJE U ZNANSTVENO ISTRAŽIVAČKU DJELATNOST</t>
  </si>
  <si>
    <t>A622006 IZDAVANJE ZNANSTVENIH UDŽBENIKA</t>
  </si>
  <si>
    <t>3237 Intelektualne i osobne usluge</t>
  </si>
  <si>
    <t>Ostale pomoći i darovnice (52)</t>
  </si>
  <si>
    <t>202 PLAN RASHODA</t>
  </si>
  <si>
    <t>238 ZNANOST I TEHNOLOŠKI RAZVOJ</t>
  </si>
  <si>
    <t>23801 ULAGANJE U ZNANSTVENO ISTRAŽIVAČKU DJELATNOST</t>
  </si>
  <si>
    <t>A622006 IZDAVANJE ZNANSTVENIH UDŽBENIKA</t>
  </si>
  <si>
    <t>3239 Ostale usluge</t>
  </si>
  <si>
    <t>Ostale pomoći i darovnice (52)</t>
  </si>
  <si>
    <t>Row Labels</t>
  </si>
  <si>
    <t>Grand Total</t>
  </si>
  <si>
    <t>Sum of Realizirani iznos2</t>
  </si>
  <si>
    <t>FINANCIJSKI PLAN 2017.</t>
  </si>
  <si>
    <t>REALIZACIJA 2017.</t>
  </si>
  <si>
    <t>Sum of Planirani iznos2</t>
  </si>
  <si>
    <t>Službena putovanja</t>
  </si>
  <si>
    <t>Naknade za prijevoz, za rad na terenu i odvojeni život</t>
  </si>
  <si>
    <t>Stručno usavršavanje zaposlenika</t>
  </si>
  <si>
    <t>Uredski materijal i ostali materijalni rashodi</t>
  </si>
  <si>
    <t>Materijal i sirovine</t>
  </si>
  <si>
    <t>Energija</t>
  </si>
  <si>
    <t>Materijal i dijelovi za tekuće i investicijsko održavanje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</si>
  <si>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</si>
  <si>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</si>
  <si>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</si>
  <si>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</si>
  <si>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</si>
  <si>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</si>
  <si>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</si>
  <si>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</si>
  <si>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</si>
  <si>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Premije osiguranja</t>
  </si>
  <si>
    <t>Članarine</t>
  </si>
  <si>
    <t>Pristojbe i naknade</t>
  </si>
  <si>
    <t>Ostali nespomenuti rashodi poslovanja</t>
  </si>
  <si>
    <t>Bankarske usluge i usluge platnog prometa</t>
  </si>
  <si>
    <t>Uredska oprema i namještaj</t>
  </si>
  <si>
    <t>Uređaji, strojevi i oprema za ostale namjene</t>
  </si>
  <si>
    <t>UKUPNO</t>
  </si>
  <si>
    <t>Plaće za redovan rad</t>
  </si>
  <si>
    <t>Ostali rashodi za zaposlene</t>
  </si>
  <si>
    <t>Reprezentacija</t>
  </si>
  <si>
    <t>Negativne tečajne razlike i razlike zbog primjene valutne klauzule</t>
  </si>
  <si>
    <t>Komunikacijska oprema</t>
  </si>
  <si>
    <t>Knjige</t>
  </si>
  <si>
    <t xml:space="preserve"> Uredski materijal i ostali materijalni rashodi</t>
  </si>
  <si>
    <t>Službena, radna i zaštitna odjeća i obuća</t>
  </si>
  <si>
    <t>Tekuće donacije u novcu</t>
  </si>
  <si>
    <t>Licence</t>
  </si>
  <si>
    <t>Oprema za održavanje i zaštitu</t>
  </si>
  <si>
    <t xml:space="preserve"> Službena putovanja</t>
  </si>
  <si>
    <t>RASHODI POSLOVANJA</t>
  </si>
  <si>
    <t>Rashodi za zaposlene</t>
  </si>
  <si>
    <t>Doprinosi na plaće</t>
  </si>
  <si>
    <t>Materijalni rashodi</t>
  </si>
  <si>
    <t>Naknade troškova zaposlenima</t>
  </si>
  <si>
    <t>Konto</t>
  </si>
  <si>
    <t>Ostali nespomenuti prihodi</t>
  </si>
  <si>
    <t>Ostali prihodi</t>
  </si>
  <si>
    <t>Tekuće pomoći od institucija i tijela  EU</t>
  </si>
  <si>
    <t>Tekući prijenosi između proračunskih korisnika istog proračuna</t>
  </si>
  <si>
    <t>Kamate na oročena sredstva i depozite po viđenju</t>
  </si>
  <si>
    <t>Prihodi od zateznih kamata</t>
  </si>
  <si>
    <t>Prihodi od pozitivnih tečajnih razlika i razlika zbog primjene valutne klauzule</t>
  </si>
  <si>
    <t>Prihodi od pruženih usluga</t>
  </si>
  <si>
    <t>Tekuće donacije</t>
  </si>
  <si>
    <t xml:space="preserve"> Kapitalne donacije</t>
  </si>
  <si>
    <t>UKUPNO:</t>
  </si>
  <si>
    <t>Rashodi za materijal i energiju</t>
  </si>
  <si>
    <t>Rashodi za usluge</t>
  </si>
  <si>
    <t>Financijski rashodi</t>
  </si>
  <si>
    <t>Ostali financijski rashodi</t>
  </si>
  <si>
    <t>Rashodi za nabavu nefinancijske imovine</t>
  </si>
  <si>
    <t>Rashodi za nabavu proizvedene dugotrajne imovine</t>
  </si>
  <si>
    <t>Postrojenja i oprema</t>
  </si>
  <si>
    <t>Knjige, umjetnička djela i ostale izložbene vrijednosti</t>
  </si>
  <si>
    <t>Naknade troškova osobama izvan radnog odnosa</t>
  </si>
  <si>
    <t>Ostali rashodi</t>
  </si>
  <si>
    <t>Naknade građanima i kućanstvima na temelju osiguranja i druge naknade</t>
  </si>
  <si>
    <t>Doprinosi za obvezno zdravstveno osiguranje</t>
  </si>
  <si>
    <t>Rashodi poslovanja</t>
  </si>
  <si>
    <t>PRIHODI UKUPNO</t>
  </si>
  <si>
    <t>PRIHODI POSLOVANJA</t>
  </si>
  <si>
    <t>RASHODI UKUPNO</t>
  </si>
  <si>
    <t>RASHODI  POSLOVANJA</t>
  </si>
  <si>
    <t>RASHODI ZA NEFINANCIJSKU IMOVINU</t>
  </si>
  <si>
    <t>RAZLIKA - VIŠAK / MANJAK</t>
  </si>
  <si>
    <t>Prihodi poslovanja</t>
  </si>
  <si>
    <t>I. OPĆI DIO</t>
  </si>
  <si>
    <t>Naziv prihoda</t>
  </si>
  <si>
    <t>Tekući prijenosi između proračunskih korisnika istog proračuna temeljem prijenosa EU sredstava</t>
  </si>
  <si>
    <t>Kapitalne donacije</t>
  </si>
  <si>
    <t>Pomoći iz inozemstva i od subjekata unutar općeg proračuna</t>
  </si>
  <si>
    <t>Pomoći od međunarodnih organizacija, te institucija i tijela EU</t>
  </si>
  <si>
    <t>Prijenosi između proračunskih korisnika istog proračuna</t>
  </si>
  <si>
    <t>Prihodi od financijske imovine</t>
  </si>
  <si>
    <t>Prihodi po posebnim propisima</t>
  </si>
  <si>
    <t>Prihodi od prodaje proizvoda i robe, te pruženih usluga</t>
  </si>
  <si>
    <t>Donacije od fizičkih i pravnih osoba izvan općeg proračuna</t>
  </si>
  <si>
    <t>Prihodi iz nadležnog proračuna za financiranje redovne djelatnosti proračunskih korisnika</t>
  </si>
  <si>
    <t>Prihodi od prodaje nefinancijske imovine</t>
  </si>
  <si>
    <t>Prihodi od prodaje dugotrajne proizvedne imovine</t>
  </si>
  <si>
    <t>Prihodi od prodaje građevinskih objekata</t>
  </si>
  <si>
    <t>Prihodi od imovine</t>
  </si>
  <si>
    <t>Prihodi od upravnih i administrativnih pristojbi, pristojbi po posebnim propisima i naknada</t>
  </si>
  <si>
    <t>Prihod od prodaje proizvoda i robe, te pruženih usluga i prihodi od donacija</t>
  </si>
  <si>
    <t>Prihodi od nadležnog proračuna i HZZO-a temeljem ugovornih obveza</t>
  </si>
  <si>
    <t>Naknade građanima i kućanstvima u novcu</t>
  </si>
  <si>
    <t>Plaće (Bruto)</t>
  </si>
  <si>
    <t>Pomoći dane u inozemstvo i unutar općeg proračuna</t>
  </si>
  <si>
    <t>Rashodi za nabavu neproizvedene nefinancijske imovine</t>
  </si>
  <si>
    <t>Nematerijalna imovina</t>
  </si>
  <si>
    <t>Prijevozna sredstva</t>
  </si>
  <si>
    <t xml:space="preserve">Plaće za redovan rad  </t>
  </si>
  <si>
    <t>RASHODI/IZVOR FINANCIRANJA</t>
  </si>
  <si>
    <t>Rashodi poslovanja i rashodi za nabavu nefinancijske imovine izvršeni su prema izvorima financiranja kako slijedi:</t>
  </si>
  <si>
    <t>Prihodi poslovanja i prihodi od prodaje nefinancijske imovine ostvareni su prema izvorima financiranja kako slijedi:</t>
  </si>
  <si>
    <t>PRIHODI OD PRODAJE NEFINANCIJSKE IMOVINE</t>
  </si>
  <si>
    <t>Prihodi od prodanih proizvoda</t>
  </si>
  <si>
    <t>Ostale plaće u naravi</t>
  </si>
  <si>
    <t>Zatezne kamate</t>
  </si>
  <si>
    <t>Prihodi od prodanih proizvoda (knjige)</t>
  </si>
  <si>
    <t>Ostali nespomenuti prihodi (školarine)</t>
  </si>
  <si>
    <t>Tekući prijenosi između proračunskih korisnika istog proračuna (Sveučilište i MZO)</t>
  </si>
  <si>
    <t>Troškovi sudskih postupaka</t>
  </si>
  <si>
    <t>Tekuće pomoći od institucija i tijela  ESF</t>
  </si>
  <si>
    <t>Tekući prijenosi temeljem EU sredstava</t>
  </si>
  <si>
    <t>Plaće za prekovremeni rad</t>
  </si>
  <si>
    <t>Stipendije i školarine</t>
  </si>
  <si>
    <t>Ulaganje u tuđu imovinu</t>
  </si>
  <si>
    <t>Ulaganja u tuđu imovinu</t>
  </si>
  <si>
    <t>PRIHODI/RASHODI</t>
  </si>
  <si>
    <t>PRIMICI OD FINANCIJSKE IMOVINE I ZADUŽIVANJA</t>
  </si>
  <si>
    <t>NETO FINANCIRANJE</t>
  </si>
  <si>
    <t>Prihodi od prodaje postrojenja i opreme</t>
  </si>
  <si>
    <t>DONOS</t>
  </si>
  <si>
    <t>ODNOS</t>
  </si>
  <si>
    <t>IZDACI ZA FINANCIJSKU IMOVINU I DEPOZITE</t>
  </si>
  <si>
    <t>Rektor:</t>
  </si>
  <si>
    <t>Prof. dr. sc. Marin Milković</t>
  </si>
  <si>
    <t>Prihodi iz nadležnog proračuna za nabavu nefinancijske imovine</t>
  </si>
  <si>
    <t>Pomoći proračunu iz drugih proračuna i izvanproračunskim korisnicima</t>
  </si>
  <si>
    <t>Tekuće pomoći proračunu iz drugih proračuna i izvanproračunskim korisnicima</t>
  </si>
  <si>
    <t>Kazne, upravne mjere i ostali prihodi</t>
  </si>
  <si>
    <t>II. PRIHODI</t>
  </si>
  <si>
    <t>IV. PRIHODI (PO IZVORIMA FINANCIRANJA)</t>
  </si>
  <si>
    <t>Ukupni prihodi poslovanja i prihodi od prodaje nefinancije imovine ostvareni su kako slijedi:</t>
  </si>
  <si>
    <t>Prihodi iz nadležnog proračuna za financiranje rashoda poslovanja</t>
  </si>
  <si>
    <t>31 - VLASTITI PRIHODI</t>
  </si>
  <si>
    <t>43 - PRIHODI ZA POSEBNE NAMJENE</t>
  </si>
  <si>
    <t>51 - POMOĆI EU</t>
  </si>
  <si>
    <t>52 - OSTALE POMOĆI (Erasmus+ projekti)</t>
  </si>
  <si>
    <t>56 - FONDOVI EU - ESF</t>
  </si>
  <si>
    <t>61 - DONACIJE</t>
  </si>
  <si>
    <t>71 - PRIHODI OD NEFINANCIJSKE IMOVINE I NAKNADE ŠTETE S OSNOVA OSIGURANJA</t>
  </si>
  <si>
    <t>Kapitalne pomoći od ostalih izvanproračunskih korisnika</t>
  </si>
  <si>
    <t>Prihodi iz nadležnog proračuna za financiranje rashoda za nabavu nefinancijske imovine</t>
  </si>
  <si>
    <t>III. RASHODI</t>
  </si>
  <si>
    <t>Ukupni rashodi poslovanja i rashodi za nabavu nefinancijske imovine izvršeni su kako slijedi:</t>
  </si>
  <si>
    <t>Ostale naknade troškova zaposlenima</t>
  </si>
  <si>
    <t>Sitni inventar i autogume</t>
  </si>
  <si>
    <t>Tekuće pomoći inozemnim vladama</t>
  </si>
  <si>
    <t>Raspored rashoda i prijelazni računi</t>
  </si>
  <si>
    <t>Raspored rashoda (povećanje zaliha proizvodnje)</t>
  </si>
  <si>
    <t>Građevinski objekti</t>
  </si>
  <si>
    <t>Poslovni objekti</t>
  </si>
  <si>
    <t>Prijevozna sredstva u cestovnom prometu</t>
  </si>
  <si>
    <t>Kapitalne donacije neprofitnim organizacijama</t>
  </si>
  <si>
    <t>SVEUČILIŠTE SJEVER</t>
  </si>
  <si>
    <t>VIŠAK/MANJAK + DONOS - ODNOS + NETO FINANCIRANJE</t>
  </si>
  <si>
    <t>Izdaci za depozite u kreditnim i ostalim financijskim institucijama - tuzemni</t>
  </si>
  <si>
    <t>Izdaci za depozite i jamčevne pologe</t>
  </si>
  <si>
    <t>Izdaci za dane zajmove i depozite</t>
  </si>
  <si>
    <t>Izdaci za financijsku imovinu i otplate zajmova</t>
  </si>
  <si>
    <t>V. RASHODI (PO IZVORIMA FINANCIRANJA)</t>
  </si>
  <si>
    <t>Naziv rashoda</t>
  </si>
  <si>
    <t>11 - IZ PRORAČUNA - REDOVNA DJELATNOST</t>
  </si>
  <si>
    <t>12 - SREDSTVA UČEŠĆA ZA POMOĆI (DRŽAVNI PRORAČUN RH) - HKO PROJEKTI</t>
  </si>
  <si>
    <t>RASHODI ZA NABAVU NEFINANCIJSKE IMOVINE</t>
  </si>
  <si>
    <t>Naknada građanima i kućanstvima u novcu</t>
  </si>
  <si>
    <t>IZDACI ZA FINANCIJSKU IMOVINU I OTPLATE ZAJMOVA</t>
  </si>
  <si>
    <t>VI. RASHODI (PO AKTIVNOSTI I IZVORIMA FINANCIRANJA)</t>
  </si>
  <si>
    <t>Rashodi poslovanja i rashodi za nabavu nefinancijske imovine izvršeni su po aktivnostima i izvorima financiranja kako slijedi:</t>
  </si>
  <si>
    <t>RASHODI/AKTIVNOSTI I IZVORI FINANCIRANJA</t>
  </si>
  <si>
    <t>Pomoći temeljem prijenosa EU sredstava</t>
  </si>
  <si>
    <t>Tekuće pomoći temeljem prijenosa EU sredstava</t>
  </si>
  <si>
    <t>Prihodi od nefinancijske imovine</t>
  </si>
  <si>
    <t>Prihodi od prodaje kratkotrajne nefinancijske imovine</t>
  </si>
  <si>
    <t>Kapitalne pomoći</t>
  </si>
  <si>
    <t>Kapitalne pomoći kreditnim i ostalim financijskim institucijama te trgovačkim društvima i zadrugama izvan javnog sektora</t>
  </si>
  <si>
    <t>A621180 REKTORSKI ZBOR (IZVOR 11)</t>
  </si>
  <si>
    <t>Tekuće pomoći od inozemnih vlada</t>
  </si>
  <si>
    <r>
      <t xml:space="preserve">Plaće za redovan rad 
</t>
    </r>
    <r>
      <rPr>
        <sz val="8"/>
        <rFont val="Calibri"/>
        <family val="2"/>
        <charset val="238"/>
        <scheme val="minor"/>
      </rPr>
      <t xml:space="preserve">(isplata novčane nagrade za objavljene znanstvene radove i vidljivost znanstvenika, prihvaćene patente) </t>
    </r>
  </si>
  <si>
    <r>
      <t xml:space="preserve">Plaće za prekovremeni rad </t>
    </r>
    <r>
      <rPr>
        <sz val="8"/>
        <color theme="1"/>
        <rFont val="Calibri"/>
        <family val="2"/>
        <charset val="238"/>
        <scheme val="minor"/>
      </rPr>
      <t>(isplata prekonorme)</t>
    </r>
  </si>
  <si>
    <t>Ostala prava</t>
  </si>
  <si>
    <t>Pomoći proračunskim korisnicima iz proračuna koji im nije nadležan</t>
  </si>
  <si>
    <t>Tekuće pomoći proračunskim korisnicima iz proračuna koji im nije nadležan</t>
  </si>
  <si>
    <t>VII. RAČUN FINANCIRANJA</t>
  </si>
  <si>
    <t>Primici od financijske imovine i zaduživanja te izdaci za financijsku imovinu i otplate zajmova izvršeni su po izvorima kako slijedi:</t>
  </si>
  <si>
    <t>81 - NAMJENSKI PRIMICI OD ZADUŽIVANJA</t>
  </si>
  <si>
    <t>Primljeni zajmovi od međunarodnih organizacija</t>
  </si>
  <si>
    <t>Primljeni krediti i zajmovi od institucija i tijela EU</t>
  </si>
  <si>
    <t>Primljeni zajmovi od inozemnih vlada u EU</t>
  </si>
  <si>
    <t>Primljeni zajmovi od inozemnih vlada izvan EU</t>
  </si>
  <si>
    <t>Primljeni krediti od kreditnih institucija u javnom sektoru</t>
  </si>
  <si>
    <t>Primljeni zajmovi od osiguravajućih društava u javnom sektoru</t>
  </si>
  <si>
    <t>Primljeni zajmovi od ostalih financijskih institucija u javnom sektoru</t>
  </si>
  <si>
    <t>Primljeni zajmovi od trgovačkih društava u javnom sektoru</t>
  </si>
  <si>
    <t>Primljeni krediti od tuzemnih kreditnih institucija izvan javnog sektora</t>
  </si>
  <si>
    <t>Primljeni zajmovi od tuzemnih osiguravajućih društava izvan javnog sektora</t>
  </si>
  <si>
    <t>Primljeni zajmovi od ostalih tuzemnih financijskih institucija izvan javnog sektora</t>
  </si>
  <si>
    <t>Primljeni krediti od inozemnih kreditnih institucija</t>
  </si>
  <si>
    <t>Primljeni zajmovi od inozemnih osiguravajućih društava</t>
  </si>
  <si>
    <t>Primljeni zajmovi od ostalih inozemnih financijskih institucija</t>
  </si>
  <si>
    <t>Primljeni zajmovi od tuzemnih trgovačkih društava izvan javnog sektora</t>
  </si>
  <si>
    <t>Primljeni zajmovi od tuzemnih obrtnika</t>
  </si>
  <si>
    <t>Primljeni zajmovi od inozemnih trgovačkih društava</t>
  </si>
  <si>
    <t>Primljeni zajmovi od inozemnih obrtnika</t>
  </si>
  <si>
    <t>Primljeni zajmovi od državnog proračuna</t>
  </si>
  <si>
    <t>Primljeni zajmovi od županijskih proračuna</t>
  </si>
  <si>
    <t>Primljeni zajmovi od građanskih proračuna</t>
  </si>
  <si>
    <t>Primljeni zajmovi od općinskih proračuna</t>
  </si>
  <si>
    <t>Primljeni zajmovi od HZMO-a, HZZ-a i HZZO-a</t>
  </si>
  <si>
    <t>Primljeni zajmovi od ostalih izvanproračunski korisnika državnog proračuna</t>
  </si>
  <si>
    <t>Primljeni zajmovi od izvanproračunskih korisnika županijskih, gradskih i općinskih prorač.</t>
  </si>
  <si>
    <t>Otplata glavnice primljenih zajmova od međunarodnih organizacija</t>
  </si>
  <si>
    <t>Otplata glavnice primljenih kredita i zajmova od institucija i tijela EU</t>
  </si>
  <si>
    <t>Otplata glavnice primljenih zajmova od inozemnih vlada u EU</t>
  </si>
  <si>
    <t>Otplata glavnice primljenih zajmova od inozemnih vlada izvan EU</t>
  </si>
  <si>
    <t>Otplata glavnice primljenih kredita od kreditnih institucija u javnom sektoru</t>
  </si>
  <si>
    <t>Otplata glavnice primljenih zajmova od osiguravajućih društava u javnom sektoru</t>
  </si>
  <si>
    <t>Otplata glavnice primljenih zajmova od ostalih financijskih institucija u javnom sektoru</t>
  </si>
  <si>
    <t>Otplata glavnice primljenih zajmova od trgovačkih društava u javnom sektoru</t>
  </si>
  <si>
    <t>Otplata glavnice primljenih kredita od tuzemnih kreditnih institucija izvan javnog sektora</t>
  </si>
  <si>
    <t>Otplata glavnice primljenih kredita od tuzemnih osiguravajućih društava izvan javnog sektora</t>
  </si>
  <si>
    <t>Otplata glavnice primljenih kredita od ostalih tuzemnih financijskih institucija izvan javnog sektora</t>
  </si>
  <si>
    <t>Otplata glavnice primljenih kredita od inozemnih kreditnih institucija</t>
  </si>
  <si>
    <t>Otplata glavnice primljenih kreditaod inozemnih osiguravajućih društava</t>
  </si>
  <si>
    <t>Otplata glavnice primljenih kredita od ostalih inozemnih financijskih institucija</t>
  </si>
  <si>
    <t>Otplata glavnice primljenih kredita od tuzemnih trgovačkih društava izvan javnog sektora</t>
  </si>
  <si>
    <t>Otplata glavnice primljenih kredita od tuzemnih obrtnika</t>
  </si>
  <si>
    <t>Otplata glavnice primljenih kredita od inozemnih trgovačkih društava</t>
  </si>
  <si>
    <t>Otplata glavnice primljenih kredita od inozemnih obrtnika</t>
  </si>
  <si>
    <t>Otplata glavnice primljenih zajmova od državnog proračuna</t>
  </si>
  <si>
    <t>Otplata glavnice primljenih zajmova od županijskih proračuna</t>
  </si>
  <si>
    <t>Otplata glavnice primljenih zajmova od građanskih proračuna</t>
  </si>
  <si>
    <t>Otplata glavnice primljenih zajmova od općinskih proračuna</t>
  </si>
  <si>
    <t>Otplata glavnice primljenih zajmova od HZMO-a, HZZ-a i HZZO-a</t>
  </si>
  <si>
    <t>Otplata glavnice primljenih zajmova od ostalih izvanproračunski korisnika državnog proračuna</t>
  </si>
  <si>
    <t>Otplata glavnice primljenih zajmova od izvanproračunskih korisnika županijskih, gradskih i općinskih proračuna</t>
  </si>
  <si>
    <t>POLUGODIŠNJI IZVJEŠTAJ O IZVRŠENJU FINANCIJSKOG PLANA SVEUČILIŠTA SJEVER ZA 2023. GODINU</t>
  </si>
  <si>
    <t>Financijski plan Sveučilišta Sjever izvršen je u razdoblju od 01.01.2023. godine do 30.06.2023. godine kako slijedi:</t>
  </si>
  <si>
    <t>Izvršenje  
1.-6.2022.
(HRK)</t>
  </si>
  <si>
    <t>FINANCIJSKI PLAN 2023.
(EUR)</t>
  </si>
  <si>
    <t>Izvršenje  
1.-6.2023.
(EUR)</t>
  </si>
  <si>
    <t>Indeks                (6/5)</t>
  </si>
  <si>
    <t>Izvršenje  
1.-6.2022.
(EUR)</t>
  </si>
  <si>
    <t>Indeks          (5/4)</t>
  </si>
  <si>
    <t xml:space="preserve">11 - IZ PRORAČUNA - REDOVNA DJELATNOST, PROGRAMSKI FINANCIRANJE (2021./22. i 2022./23.) I FINANCIRANJE ZNANSTVENE DJELATNOSTI)
</t>
  </si>
  <si>
    <t>11 - IZ PRORAČUNA - PROGRAMSKO FINANCIRANJE I FINANCIRANJE ZNANSTVENE DJELATNOSTI, POTPORA UMJETNIČKIM STUDIJIMA (A679110)</t>
  </si>
  <si>
    <t>A679080 REDOVNA DJELATNOST SVEUČILIŠTA SJEVER (IZVOR 11)</t>
  </si>
  <si>
    <t>U Koprivnici, 13. srpnja 2023.</t>
  </si>
  <si>
    <t>KLASA: 602-04/23-02/09</t>
  </si>
  <si>
    <t>URBROJ: 2186-0336-14-23-01</t>
  </si>
  <si>
    <t>A622122 PROGRAMSKO FINANCIRANJE (IZVOR 11), A679110 POTPORA UMJETNIČKIM STUDIJIMA 2023</t>
  </si>
  <si>
    <t>A679081 EU PROJEKTI IZ EVIDENCIJSKIH PRIHODA 
(IZVOR 12, 51, 52, 56, 61)</t>
  </si>
  <si>
    <t>A679096 REDOVNA DJELATNOST SVEUČILIŠTA SJEVER (IZ EVIDENCIJSKIH PRIHODA - IZVOR 31, 43, 52,61,71)</t>
  </si>
  <si>
    <t>A679096 REDOVNA DJELATNOST SVEUČILIŠTA SJEVER (IZ EVIDENCIJSKIH PRIHODA) - KAPITALNI PROJEKTI (IZVOR 43)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</si>
</sst>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n&quot;"/>
    <numFmt numFmtId="165" formatCode="#,##0.00\ [$€-1]"/>
    <numFmt numFmtId="166" formatCode="#,##0.00\ _k_n"/>
  </numFmts>
  <fonts count="4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0"/>
      <color indexed="8"/>
      <name val="MS Sans Serif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8"/>
      <name val="Arial"/>
      <family val="2"/>
    </font>
    <font>
      <sz val="10"/>
      <color rgb="FF000000"/>
      <name val="Open Sans"/>
    </font>
    <font>
      <b/>
      <sz val="15"/>
      <color indexed="8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i/>
      <sz val="11"/>
      <name val="Calibri"/>
      <family val="2"/>
      <charset val="238"/>
    </font>
    <font>
      <i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indexed="8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1" fillId="0" borderId="0"/>
    <xf numFmtId="0" fontId="12" fillId="0" borderId="0"/>
    <xf numFmtId="0" fontId="15" fillId="0" borderId="0"/>
    <xf numFmtId="4" fontId="16" fillId="0" borderId="5" applyNumberFormat="0" applyProtection="0">
      <alignment horizontal="right" vertical="center"/>
    </xf>
    <xf numFmtId="0" fontId="17" fillId="0" borderId="0"/>
  </cellStyleXfs>
  <cellXfs count="222">
    <xf numFmtId="0" fontId="0" fillId="0" borderId="0" xfId="0"/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0" fillId="0" borderId="0" xfId="0" applyNumberFormat="1" applyAlignment="1">
      <alignment horizontal="right"/>
    </xf>
    <xf numFmtId="0" fontId="0" fillId="0" borderId="0" xfId="0" pivotButton="1"/>
    <xf numFmtId="0" fontId="1" fillId="0" borderId="0" xfId="0" applyFont="1" applyAlignment="1">
      <alignment horizontal="right"/>
    </xf>
    <xf numFmtId="0" fontId="2" fillId="0" borderId="0" xfId="0" applyFont="1" applyFill="1" applyBorder="1"/>
    <xf numFmtId="0" fontId="6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0" fontId="4" fillId="0" borderId="3" xfId="0" quotePrefix="1" applyFont="1" applyBorder="1" applyAlignment="1">
      <alignment horizontal="left" vertical="center"/>
    </xf>
    <xf numFmtId="3" fontId="6" fillId="0" borderId="0" xfId="0" applyNumberFormat="1" applyFont="1" applyFill="1" applyBorder="1" applyAlignment="1" applyProtection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3" xfId="0" quotePrefix="1" applyNumberFormat="1" applyFont="1" applyFill="1" applyBorder="1" applyAlignment="1" applyProtection="1">
      <alignment horizontal="left" vertical="center" wrapText="1"/>
    </xf>
    <xf numFmtId="0" fontId="2" fillId="0" borderId="0" xfId="2" applyFont="1"/>
    <xf numFmtId="0" fontId="13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vertical="center"/>
    </xf>
    <xf numFmtId="0" fontId="2" fillId="0" borderId="0" xfId="2" applyFont="1" applyBorder="1" applyAlignment="1"/>
    <xf numFmtId="0" fontId="13" fillId="0" borderId="0" xfId="2" applyFont="1" applyBorder="1"/>
    <xf numFmtId="0" fontId="13" fillId="0" borderId="0" xfId="2" applyFont="1" applyFill="1" applyBorder="1"/>
    <xf numFmtId="0" fontId="13" fillId="0" borderId="0" xfId="2" applyFont="1" applyBorder="1" applyAlignment="1"/>
    <xf numFmtId="0" fontId="14" fillId="0" borderId="0" xfId="0" applyNumberFormat="1" applyFont="1" applyFill="1" applyBorder="1" applyAlignment="1" applyProtection="1">
      <alignment vertical="center"/>
    </xf>
    <xf numFmtId="0" fontId="1" fillId="2" borderId="3" xfId="0" applyFont="1" applyFill="1" applyBorder="1"/>
    <xf numFmtId="0" fontId="1" fillId="2" borderId="3" xfId="0" applyFont="1" applyFill="1" applyBorder="1" applyAlignment="1">
      <alignment horizontal="right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0" fontId="0" fillId="2" borderId="3" xfId="0" applyFill="1" applyBorder="1" applyAlignment="1">
      <alignment horizontal="right"/>
    </xf>
    <xf numFmtId="0" fontId="0" fillId="2" borderId="3" xfId="0" applyFill="1" applyBorder="1"/>
    <xf numFmtId="0" fontId="0" fillId="2" borderId="3" xfId="0" applyFill="1" applyBorder="1" applyAlignment="1"/>
    <xf numFmtId="4" fontId="0" fillId="2" borderId="3" xfId="0" applyNumberFormat="1" applyFill="1" applyBorder="1"/>
    <xf numFmtId="3" fontId="0" fillId="2" borderId="3" xfId="0" applyNumberFormat="1" applyFont="1" applyFill="1" applyBorder="1"/>
    <xf numFmtId="3" fontId="0" fillId="2" borderId="3" xfId="0" applyNumberFormat="1" applyFill="1" applyBorder="1"/>
    <xf numFmtId="0" fontId="2" fillId="0" borderId="3" xfId="0" applyFont="1" applyFill="1" applyBorder="1"/>
    <xf numFmtId="0" fontId="4" fillId="0" borderId="3" xfId="0" applyNumberFormat="1" applyFont="1" applyFill="1" applyBorder="1" applyAlignment="1" applyProtection="1">
      <alignment horizontal="right" vertical="center" wrapText="1"/>
    </xf>
    <xf numFmtId="3" fontId="0" fillId="0" borderId="0" xfId="0" applyNumberFormat="1"/>
    <xf numFmtId="0" fontId="0" fillId="0" borderId="0" xfId="0" applyFont="1"/>
    <xf numFmtId="0" fontId="1" fillId="0" borderId="0" xfId="0" applyFont="1"/>
    <xf numFmtId="0" fontId="0" fillId="2" borderId="3" xfId="0" applyFont="1" applyFill="1" applyBorder="1" applyAlignment="1">
      <alignment horizontal="right"/>
    </xf>
    <xf numFmtId="0" fontId="0" fillId="2" borderId="3" xfId="0" applyFont="1" applyFill="1" applyBorder="1"/>
    <xf numFmtId="0" fontId="0" fillId="2" borderId="3" xfId="0" applyFill="1" applyBorder="1" applyAlignment="1">
      <alignment wrapText="1"/>
    </xf>
    <xf numFmtId="0" fontId="0" fillId="0" borderId="0" xfId="0" applyAlignment="1">
      <alignment horizontal="right"/>
    </xf>
    <xf numFmtId="0" fontId="3" fillId="0" borderId="3" xfId="0" applyFont="1" applyFill="1" applyBorder="1"/>
    <xf numFmtId="0" fontId="3" fillId="0" borderId="3" xfId="5" applyFont="1" applyBorder="1" applyAlignment="1" applyProtection="1">
      <alignment horizontal="left" vertical="center" wrapText="1"/>
    </xf>
    <xf numFmtId="0" fontId="0" fillId="0" borderId="0" xfId="0" applyAlignment="1"/>
    <xf numFmtId="0" fontId="5" fillId="4" borderId="3" xfId="1" applyNumberFormat="1" applyFont="1" applyFill="1" applyBorder="1" applyAlignment="1" applyProtection="1">
      <alignment horizontal="center" wrapText="1"/>
    </xf>
    <xf numFmtId="0" fontId="5" fillId="4" borderId="3" xfId="0" quotePrefix="1" applyFont="1" applyFill="1" applyBorder="1" applyAlignment="1">
      <alignment horizontal="center" wrapText="1"/>
    </xf>
    <xf numFmtId="0" fontId="4" fillId="4" borderId="3" xfId="0" quotePrefix="1" applyFont="1" applyFill="1" applyBorder="1" applyAlignment="1">
      <alignment horizontal="center" vertical="center" wrapText="1"/>
    </xf>
    <xf numFmtId="0" fontId="4" fillId="4" borderId="3" xfId="1" applyNumberFormat="1" applyFont="1" applyFill="1" applyBorder="1" applyAlignment="1" applyProtection="1">
      <alignment horizontal="center" wrapText="1"/>
    </xf>
    <xf numFmtId="0" fontId="4" fillId="4" borderId="3" xfId="1" applyNumberFormat="1" applyFont="1" applyFill="1" applyBorder="1" applyAlignment="1" applyProtection="1">
      <alignment horizontal="center" vertical="center" wrapText="1"/>
    </xf>
    <xf numFmtId="0" fontId="4" fillId="4" borderId="3" xfId="0" quotePrefix="1" applyFont="1" applyFill="1" applyBorder="1" applyAlignment="1">
      <alignment horizontal="center" wrapText="1"/>
    </xf>
    <xf numFmtId="4" fontId="10" fillId="4" borderId="3" xfId="0" applyNumberFormat="1" applyFont="1" applyFill="1" applyBorder="1" applyAlignment="1" applyProtection="1">
      <alignment horizontal="right" vertical="center" wrapText="1"/>
    </xf>
    <xf numFmtId="4" fontId="10" fillId="3" borderId="3" xfId="0" applyNumberFormat="1" applyFont="1" applyFill="1" applyBorder="1" applyAlignment="1" applyProtection="1">
      <alignment horizontal="right" vertical="center" wrapText="1"/>
    </xf>
    <xf numFmtId="4" fontId="10" fillId="0" borderId="3" xfId="0" applyNumberFormat="1" applyFont="1" applyFill="1" applyBorder="1" applyAlignment="1" applyProtection="1">
      <alignment horizontal="right" vertical="center" wrapText="1"/>
    </xf>
    <xf numFmtId="0" fontId="13" fillId="0" borderId="0" xfId="2" applyFont="1" applyBorder="1" applyAlignment="1">
      <alignment wrapText="1"/>
    </xf>
    <xf numFmtId="0" fontId="4" fillId="4" borderId="3" xfId="0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 applyProtection="1">
      <alignment horizontal="left" vertical="center" wrapText="1"/>
    </xf>
    <xf numFmtId="0" fontId="4" fillId="4" borderId="3" xfId="0" applyNumberFormat="1" applyFont="1" applyFill="1" applyBorder="1" applyAlignment="1" applyProtection="1">
      <alignment horizontal="left" vertical="center" wrapText="1"/>
    </xf>
    <xf numFmtId="4" fontId="6" fillId="0" borderId="3" xfId="0" applyNumberFormat="1" applyFont="1" applyFill="1" applyBorder="1" applyAlignment="1" applyProtection="1">
      <alignment horizontal="right" vertical="center" wrapText="1"/>
    </xf>
    <xf numFmtId="4" fontId="13" fillId="0" borderId="3" xfId="0" applyNumberFormat="1" applyFont="1" applyFill="1" applyBorder="1" applyAlignment="1" applyProtection="1">
      <alignment horizontal="right" vertical="center" wrapText="1"/>
    </xf>
    <xf numFmtId="4" fontId="0" fillId="0" borderId="3" xfId="0" applyNumberFormat="1" applyFill="1" applyBorder="1"/>
    <xf numFmtId="0" fontId="1" fillId="0" borderId="0" xfId="0" applyFont="1" applyAlignment="1">
      <alignment horizontal="center"/>
    </xf>
    <xf numFmtId="10" fontId="10" fillId="3" borderId="3" xfId="0" applyNumberFormat="1" applyFont="1" applyFill="1" applyBorder="1" applyAlignment="1" applyProtection="1">
      <alignment horizontal="right" vertical="center" wrapText="1"/>
    </xf>
    <xf numFmtId="10" fontId="10" fillId="0" borderId="3" xfId="0" applyNumberFormat="1" applyFont="1" applyFill="1" applyBorder="1" applyAlignment="1" applyProtection="1">
      <alignment horizontal="right" vertical="center" wrapText="1"/>
    </xf>
    <xf numFmtId="10" fontId="10" fillId="4" borderId="3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/>
    <xf numFmtId="0" fontId="0" fillId="0" borderId="0" xfId="0" applyFill="1"/>
    <xf numFmtId="0" fontId="4" fillId="0" borderId="0" xfId="0" applyFont="1" applyFill="1"/>
    <xf numFmtId="0" fontId="1" fillId="4" borderId="3" xfId="0" applyFont="1" applyFill="1" applyBorder="1" applyAlignment="1">
      <alignment horizontal="center"/>
    </xf>
    <xf numFmtId="0" fontId="1" fillId="4" borderId="3" xfId="0" applyFont="1" applyFill="1" applyBorder="1" applyAlignment="1"/>
    <xf numFmtId="0" fontId="4" fillId="4" borderId="3" xfId="0" applyNumberFormat="1" applyFont="1" applyFill="1" applyBorder="1" applyAlignment="1" applyProtection="1">
      <alignment horizontal="center" vertical="center" wrapText="1"/>
    </xf>
    <xf numFmtId="4" fontId="0" fillId="0" borderId="3" xfId="0" applyNumberFormat="1" applyFont="1" applyFill="1" applyBorder="1"/>
    <xf numFmtId="0" fontId="0" fillId="0" borderId="0" xfId="0" applyFont="1" applyFill="1"/>
    <xf numFmtId="4" fontId="1" fillId="4" borderId="3" xfId="0" applyNumberFormat="1" applyFont="1" applyFill="1" applyBorder="1"/>
    <xf numFmtId="0" fontId="1" fillId="0" borderId="0" xfId="0" applyFont="1" applyFill="1"/>
    <xf numFmtId="0" fontId="0" fillId="0" borderId="0" xfId="0" applyAlignment="1"/>
    <xf numFmtId="0" fontId="14" fillId="0" borderId="0" xfId="0" applyNumberFormat="1" applyFont="1" applyFill="1" applyBorder="1" applyAlignment="1" applyProtection="1">
      <alignment horizontal="center" vertical="center"/>
    </xf>
    <xf numFmtId="0" fontId="4" fillId="4" borderId="3" xfId="0" quotePrefix="1" applyNumberFormat="1" applyFont="1" applyFill="1" applyBorder="1" applyAlignment="1" applyProtection="1">
      <alignment horizontal="left" vertical="center" wrapText="1"/>
    </xf>
    <xf numFmtId="0" fontId="3" fillId="4" borderId="3" xfId="5" applyFont="1" applyFill="1" applyBorder="1" applyAlignment="1" applyProtection="1">
      <alignment horizontal="left" vertical="center" wrapText="1"/>
    </xf>
    <xf numFmtId="0" fontId="19" fillId="4" borderId="3" xfId="0" applyNumberFormat="1" applyFont="1" applyFill="1" applyBorder="1" applyAlignment="1" applyProtection="1">
      <alignment horizontal="right" vertical="center"/>
    </xf>
    <xf numFmtId="4" fontId="10" fillId="0" borderId="3" xfId="0" applyNumberFormat="1" applyFont="1" applyFill="1" applyBorder="1" applyAlignment="1">
      <alignment horizontal="right" vertical="center"/>
    </xf>
    <xf numFmtId="4" fontId="10" fillId="4" borderId="3" xfId="0" applyNumberFormat="1" applyFont="1" applyFill="1" applyBorder="1" applyAlignment="1">
      <alignment horizontal="right" vertical="center"/>
    </xf>
    <xf numFmtId="4" fontId="19" fillId="4" borderId="3" xfId="0" applyNumberFormat="1" applyFont="1" applyFill="1" applyBorder="1" applyAlignment="1" applyProtection="1">
      <alignment vertical="center"/>
    </xf>
    <xf numFmtId="2" fontId="1" fillId="0" borderId="0" xfId="0" applyNumberFormat="1" applyFont="1" applyFill="1" applyBorder="1" applyAlignment="1">
      <alignment horizontal="center"/>
    </xf>
    <xf numFmtId="0" fontId="0" fillId="0" borderId="0" xfId="0" applyAlignment="1"/>
    <xf numFmtId="4" fontId="0" fillId="0" borderId="0" xfId="0" applyNumberFormat="1" applyFill="1"/>
    <xf numFmtId="4" fontId="1" fillId="0" borderId="0" xfId="0" applyNumberFormat="1" applyFont="1" applyFill="1" applyBorder="1" applyAlignment="1">
      <alignment horizontal="center"/>
    </xf>
    <xf numFmtId="4" fontId="0" fillId="0" borderId="0" xfId="0" applyNumberFormat="1" applyFill="1" applyAlignment="1"/>
    <xf numFmtId="4" fontId="1" fillId="0" borderId="3" xfId="0" applyNumberFormat="1" applyFont="1" applyFill="1" applyBorder="1"/>
    <xf numFmtId="4" fontId="13" fillId="0" borderId="3" xfId="0" applyNumberFormat="1" applyFont="1" applyFill="1" applyBorder="1"/>
    <xf numFmtId="2" fontId="0" fillId="0" borderId="0" xfId="0" applyNumberFormat="1" applyFont="1" applyFill="1" applyBorder="1" applyAlignment="1">
      <alignment horizontal="center"/>
    </xf>
    <xf numFmtId="10" fontId="6" fillId="0" borderId="3" xfId="0" applyNumberFormat="1" applyFont="1" applyFill="1" applyBorder="1" applyAlignment="1" applyProtection="1">
      <alignment horizontal="right" vertical="center" wrapText="1"/>
    </xf>
    <xf numFmtId="4" fontId="0" fillId="0" borderId="0" xfId="0" applyNumberFormat="1" applyFont="1" applyFill="1"/>
    <xf numFmtId="4" fontId="8" fillId="3" borderId="3" xfId="0" applyNumberFormat="1" applyFont="1" applyFill="1" applyBorder="1" applyAlignment="1" applyProtection="1">
      <alignment horizontal="right" vertical="center" wrapText="1"/>
    </xf>
    <xf numFmtId="10" fontId="8" fillId="3" borderId="3" xfId="0" applyNumberFormat="1" applyFont="1" applyFill="1" applyBorder="1" applyAlignment="1" applyProtection="1">
      <alignment horizontal="right" vertical="center" wrapText="1"/>
    </xf>
    <xf numFmtId="0" fontId="20" fillId="0" borderId="0" xfId="0" applyFont="1"/>
    <xf numFmtId="4" fontId="14" fillId="3" borderId="3" xfId="0" applyNumberFormat="1" applyFont="1" applyFill="1" applyBorder="1" applyAlignment="1" applyProtection="1">
      <alignment horizontal="right" vertical="center" wrapText="1"/>
    </xf>
    <xf numFmtId="0" fontId="21" fillId="0" borderId="0" xfId="0" applyFont="1" applyFill="1" applyBorder="1"/>
    <xf numFmtId="1" fontId="4" fillId="4" borderId="3" xfId="0" applyNumberFormat="1" applyFont="1" applyFill="1" applyBorder="1" applyAlignment="1">
      <alignment horizontal="center" vertical="center" wrapText="1"/>
    </xf>
    <xf numFmtId="1" fontId="4" fillId="4" borderId="3" xfId="1" applyNumberFormat="1" applyFont="1" applyFill="1" applyBorder="1" applyAlignment="1" applyProtection="1">
      <alignment horizontal="center" wrapText="1"/>
    </xf>
    <xf numFmtId="1" fontId="4" fillId="4" borderId="3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/>
    <xf numFmtId="0" fontId="13" fillId="2" borderId="3" xfId="0" applyFont="1" applyFill="1" applyBorder="1" applyAlignment="1">
      <alignment horizontal="right"/>
    </xf>
    <xf numFmtId="0" fontId="13" fillId="2" borderId="3" xfId="0" applyFont="1" applyFill="1" applyBorder="1"/>
    <xf numFmtId="10" fontId="13" fillId="0" borderId="3" xfId="0" applyNumberFormat="1" applyFont="1" applyFill="1" applyBorder="1" applyAlignment="1" applyProtection="1">
      <alignment horizontal="right" vertical="center" wrapText="1"/>
    </xf>
    <xf numFmtId="0" fontId="13" fillId="0" borderId="0" xfId="0" applyFont="1"/>
    <xf numFmtId="0" fontId="0" fillId="2" borderId="3" xfId="0" applyFont="1" applyFill="1" applyBorder="1" applyAlignment="1">
      <alignment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Fill="1" applyBorder="1"/>
    <xf numFmtId="0" fontId="0" fillId="0" borderId="3" xfId="0" applyFont="1" applyFill="1" applyBorder="1" applyAlignment="1">
      <alignment wrapText="1"/>
    </xf>
    <xf numFmtId="0" fontId="0" fillId="0" borderId="6" xfId="0" applyFont="1" applyFill="1" applyBorder="1"/>
    <xf numFmtId="0" fontId="13" fillId="0" borderId="3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>
      <alignment horizontal="right"/>
    </xf>
    <xf numFmtId="10" fontId="10" fillId="4" borderId="3" xfId="0" applyNumberFormat="1" applyFont="1" applyFill="1" applyBorder="1" applyAlignment="1" applyProtection="1">
      <alignment horizontal="right" wrapText="1"/>
    </xf>
    <xf numFmtId="10" fontId="10" fillId="3" borderId="3" xfId="0" applyNumberFormat="1" applyFont="1" applyFill="1" applyBorder="1" applyAlignment="1" applyProtection="1">
      <alignment horizontal="right" wrapText="1"/>
    </xf>
    <xf numFmtId="10" fontId="6" fillId="0" borderId="3" xfId="0" applyNumberFormat="1" applyFont="1" applyFill="1" applyBorder="1" applyAlignment="1" applyProtection="1">
      <alignment horizontal="right" wrapText="1"/>
    </xf>
    <xf numFmtId="4" fontId="22" fillId="0" borderId="3" xfId="0" applyNumberFormat="1" applyFont="1" applyFill="1" applyBorder="1" applyAlignment="1" applyProtection="1">
      <alignment horizontal="right" vertical="center" wrapText="1"/>
    </xf>
    <xf numFmtId="4" fontId="7" fillId="3" borderId="3" xfId="0" applyNumberFormat="1" applyFont="1" applyFill="1" applyBorder="1" applyAlignment="1" applyProtection="1">
      <alignment horizontal="right" vertical="center" wrapText="1"/>
    </xf>
    <xf numFmtId="0" fontId="22" fillId="2" borderId="3" xfId="0" applyFont="1" applyFill="1" applyBorder="1" applyAlignment="1">
      <alignment horizontal="right"/>
    </xf>
    <xf numFmtId="0" fontId="22" fillId="0" borderId="3" xfId="0" applyNumberFormat="1" applyFont="1" applyFill="1" applyBorder="1" applyAlignment="1" applyProtection="1">
      <alignment horizontal="left" vertical="center" wrapText="1"/>
    </xf>
    <xf numFmtId="4" fontId="22" fillId="0" borderId="3" xfId="0" applyNumberFormat="1" applyFont="1" applyFill="1" applyBorder="1"/>
    <xf numFmtId="0" fontId="0" fillId="0" borderId="3" xfId="0" applyFill="1" applyBorder="1" applyAlignment="1">
      <alignment horizontal="right"/>
    </xf>
    <xf numFmtId="0" fontId="0" fillId="0" borderId="3" xfId="0" applyFill="1" applyBorder="1"/>
    <xf numFmtId="3" fontId="13" fillId="2" borderId="3" xfId="0" applyNumberFormat="1" applyFont="1" applyFill="1" applyBorder="1" applyAlignment="1">
      <alignment wrapText="1"/>
    </xf>
    <xf numFmtId="0" fontId="23" fillId="0" borderId="0" xfId="0" applyFont="1" applyFill="1" applyAlignment="1">
      <alignment vertical="center" wrapText="1"/>
    </xf>
    <xf numFmtId="49" fontId="2" fillId="0" borderId="0" xfId="2" applyNumberFormat="1" applyFont="1" applyBorder="1" applyAlignment="1"/>
    <xf numFmtId="0" fontId="13" fillId="0" borderId="4" xfId="0" applyNumberFormat="1" applyFont="1" applyFill="1" applyBorder="1" applyAlignment="1" applyProtection="1">
      <alignment horizontal="left" vertical="center" wrapText="1"/>
    </xf>
    <xf numFmtId="0" fontId="13" fillId="0" borderId="6" xfId="0" applyNumberFormat="1" applyFont="1" applyFill="1" applyBorder="1" applyAlignment="1" applyProtection="1">
      <alignment horizontal="right" vertical="center" wrapText="1"/>
    </xf>
    <xf numFmtId="4" fontId="6" fillId="0" borderId="0" xfId="0" applyNumberFormat="1" applyFont="1" applyFill="1" applyBorder="1" applyAlignment="1" applyProtection="1">
      <alignment vertical="center"/>
    </xf>
    <xf numFmtId="0" fontId="0" fillId="2" borderId="6" xfId="0" applyFill="1" applyBorder="1" applyAlignment="1">
      <alignment horizontal="right"/>
    </xf>
    <xf numFmtId="0" fontId="0" fillId="2" borderId="4" xfId="0" applyFill="1" applyBorder="1"/>
    <xf numFmtId="0" fontId="0" fillId="0" borderId="0" xfId="0" applyAlignment="1"/>
    <xf numFmtId="4" fontId="1" fillId="3" borderId="3" xfId="0" applyNumberFormat="1" applyFont="1" applyFill="1" applyBorder="1"/>
    <xf numFmtId="4" fontId="4" fillId="3" borderId="3" xfId="0" applyNumberFormat="1" applyFont="1" applyFill="1" applyBorder="1"/>
    <xf numFmtId="0" fontId="0" fillId="0" borderId="3" xfId="0" applyBorder="1" applyAlignment="1">
      <alignment horizontal="right"/>
    </xf>
    <xf numFmtId="4" fontId="4" fillId="4" borderId="4" xfId="0" applyNumberFormat="1" applyFont="1" applyFill="1" applyBorder="1" applyAlignment="1" applyProtection="1">
      <alignment horizontal="right" vertical="center" wrapText="1"/>
    </xf>
    <xf numFmtId="4" fontId="7" fillId="0" borderId="0" xfId="0" applyNumberFormat="1" applyFont="1" applyFill="1"/>
    <xf numFmtId="0" fontId="1" fillId="0" borderId="0" xfId="0" applyFont="1" applyAlignment="1">
      <alignment horizontal="center"/>
    </xf>
    <xf numFmtId="0" fontId="25" fillId="4" borderId="3" xfId="1" applyNumberFormat="1" applyFont="1" applyFill="1" applyBorder="1" applyAlignment="1" applyProtection="1">
      <alignment horizontal="center" vertical="center" wrapText="1"/>
    </xf>
    <xf numFmtId="0" fontId="26" fillId="0" borderId="0" xfId="0" applyFont="1" applyAlignment="1">
      <alignment horizontal="right"/>
    </xf>
    <xf numFmtId="165" fontId="26" fillId="0" borderId="0" xfId="0" applyNumberFormat="1" applyFont="1"/>
    <xf numFmtId="0" fontId="27" fillId="0" borderId="0" xfId="0" applyFont="1" applyAlignment="1">
      <alignment horizontal="center"/>
    </xf>
    <xf numFmtId="4" fontId="19" fillId="3" borderId="3" xfId="0" applyNumberFormat="1" applyFont="1" applyFill="1" applyBorder="1" applyAlignment="1" applyProtection="1">
      <alignment horizontal="right" vertical="center" wrapText="1"/>
    </xf>
    <xf numFmtId="4" fontId="28" fillId="0" borderId="3" xfId="0" applyNumberFormat="1" applyFont="1" applyFill="1" applyBorder="1" applyAlignment="1" applyProtection="1">
      <alignment horizontal="right" vertical="center" wrapText="1"/>
    </xf>
    <xf numFmtId="4" fontId="27" fillId="0" borderId="3" xfId="0" applyNumberFormat="1" applyFont="1" applyFill="1" applyBorder="1"/>
    <xf numFmtId="4" fontId="19" fillId="4" borderId="3" xfId="0" applyNumberFormat="1" applyFont="1" applyFill="1" applyBorder="1" applyAlignment="1" applyProtection="1">
      <alignment horizontal="right" vertical="center" wrapText="1"/>
    </xf>
    <xf numFmtId="164" fontId="29" fillId="0" borderId="0" xfId="0" applyNumberFormat="1" applyFont="1"/>
    <xf numFmtId="0" fontId="27" fillId="0" borderId="0" xfId="0" applyFont="1"/>
    <xf numFmtId="0" fontId="0" fillId="0" borderId="0" xfId="0" applyFont="1" applyAlignment="1">
      <alignment horizontal="center"/>
    </xf>
    <xf numFmtId="0" fontId="28" fillId="0" borderId="0" xfId="0" applyNumberFormat="1" applyFont="1" applyFill="1" applyBorder="1" applyAlignment="1" applyProtection="1">
      <alignment vertical="center"/>
    </xf>
    <xf numFmtId="0" fontId="30" fillId="0" borderId="0" xfId="0" applyNumberFormat="1" applyFont="1" applyFill="1" applyBorder="1" applyAlignment="1" applyProtection="1">
      <alignment vertical="center"/>
    </xf>
    <xf numFmtId="0" fontId="31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 wrapText="1"/>
    </xf>
    <xf numFmtId="0" fontId="25" fillId="4" borderId="3" xfId="0" quotePrefix="1" applyFont="1" applyFill="1" applyBorder="1" applyAlignment="1">
      <alignment horizontal="center" wrapText="1"/>
    </xf>
    <xf numFmtId="4" fontId="19" fillId="0" borderId="3" xfId="0" applyNumberFormat="1" applyFont="1" applyFill="1" applyBorder="1" applyAlignment="1" applyProtection="1">
      <alignment horizontal="right" vertical="center" wrapText="1"/>
    </xf>
    <xf numFmtId="4" fontId="19" fillId="0" borderId="3" xfId="0" applyNumberFormat="1" applyFont="1" applyFill="1" applyBorder="1" applyAlignment="1">
      <alignment horizontal="right" vertical="center"/>
    </xf>
    <xf numFmtId="0" fontId="32" fillId="4" borderId="3" xfId="0" quotePrefix="1" applyFont="1" applyFill="1" applyBorder="1" applyAlignment="1">
      <alignment horizontal="center" wrapText="1"/>
    </xf>
    <xf numFmtId="4" fontId="19" fillId="4" borderId="3" xfId="0" applyNumberFormat="1" applyFont="1" applyFill="1" applyBorder="1" applyAlignment="1">
      <alignment horizontal="right" vertical="center"/>
    </xf>
    <xf numFmtId="0" fontId="33" fillId="0" borderId="0" xfId="2" applyFont="1"/>
    <xf numFmtId="0" fontId="33" fillId="0" borderId="0" xfId="2" applyFont="1" applyBorder="1" applyAlignment="1"/>
    <xf numFmtId="0" fontId="34" fillId="0" borderId="0" xfId="2" applyFont="1" applyFill="1" applyBorder="1"/>
    <xf numFmtId="0" fontId="34" fillId="0" borderId="0" xfId="2" applyFont="1" applyBorder="1"/>
    <xf numFmtId="0" fontId="27" fillId="0" borderId="0" xfId="0" applyFont="1" applyBorder="1" applyAlignment="1"/>
    <xf numFmtId="4" fontId="35" fillId="4" borderId="3" xfId="0" applyNumberFormat="1" applyFont="1" applyFill="1" applyBorder="1"/>
    <xf numFmtId="0" fontId="0" fillId="0" borderId="0" xfId="0" applyFont="1" applyBorder="1" applyAlignment="1"/>
    <xf numFmtId="0" fontId="35" fillId="0" borderId="0" xfId="0" applyFont="1" applyAlignment="1">
      <alignment horizontal="center"/>
    </xf>
    <xf numFmtId="4" fontId="31" fillId="3" borderId="3" xfId="0" applyNumberFormat="1" applyFont="1" applyFill="1" applyBorder="1" applyAlignment="1" applyProtection="1">
      <alignment horizontal="right" vertical="center" wrapText="1"/>
    </xf>
    <xf numFmtId="4" fontId="36" fillId="0" borderId="3" xfId="0" applyNumberFormat="1" applyFont="1" applyFill="1" applyBorder="1" applyAlignment="1" applyProtection="1">
      <alignment horizontal="right" vertical="center" wrapText="1"/>
    </xf>
    <xf numFmtId="0" fontId="37" fillId="0" borderId="0" xfId="0" applyFont="1" applyFill="1"/>
    <xf numFmtId="4" fontId="35" fillId="0" borderId="0" xfId="0" applyNumberFormat="1" applyFont="1" applyFill="1" applyBorder="1" applyAlignment="1">
      <alignment horizontal="center"/>
    </xf>
    <xf numFmtId="4" fontId="27" fillId="0" borderId="0" xfId="0" applyNumberFormat="1" applyFont="1" applyFill="1" applyAlignment="1"/>
    <xf numFmtId="1" fontId="25" fillId="4" borderId="3" xfId="0" applyNumberFormat="1" applyFont="1" applyFill="1" applyBorder="1" applyAlignment="1">
      <alignment horizontal="center" vertical="center" wrapText="1"/>
    </xf>
    <xf numFmtId="4" fontId="38" fillId="3" borderId="3" xfId="0" applyNumberFormat="1" applyFont="1" applyFill="1" applyBorder="1" applyAlignment="1" applyProtection="1">
      <alignment horizontal="right" vertical="center" wrapText="1"/>
    </xf>
    <xf numFmtId="4" fontId="35" fillId="0" borderId="3" xfId="0" applyNumberFormat="1" applyFont="1" applyFill="1" applyBorder="1"/>
    <xf numFmtId="4" fontId="36" fillId="0" borderId="3" xfId="0" applyNumberFormat="1" applyFont="1" applyFill="1" applyBorder="1"/>
    <xf numFmtId="4" fontId="34" fillId="0" borderId="3" xfId="0" applyNumberFormat="1" applyFont="1" applyFill="1" applyBorder="1"/>
    <xf numFmtId="4" fontId="30" fillId="3" borderId="3" xfId="0" applyNumberFormat="1" applyFont="1" applyFill="1" applyBorder="1" applyAlignment="1" applyProtection="1">
      <alignment horizontal="right" vertical="center" wrapText="1"/>
    </xf>
    <xf numFmtId="4" fontId="27" fillId="0" borderId="0" xfId="0" applyNumberFormat="1" applyFont="1" applyFill="1"/>
    <xf numFmtId="4" fontId="0" fillId="0" borderId="0" xfId="0" applyNumberFormat="1" applyFont="1" applyFill="1" applyAlignment="1"/>
    <xf numFmtId="4" fontId="35" fillId="3" borderId="3" xfId="0" applyNumberFormat="1" applyFont="1" applyFill="1" applyBorder="1"/>
    <xf numFmtId="4" fontId="25" fillId="3" borderId="3" xfId="0" applyNumberFormat="1" applyFont="1" applyFill="1" applyBorder="1"/>
    <xf numFmtId="4" fontId="25" fillId="4" borderId="4" xfId="0" applyNumberFormat="1" applyFont="1" applyFill="1" applyBorder="1" applyAlignment="1" applyProtection="1">
      <alignment horizontal="right" vertical="center" wrapText="1"/>
    </xf>
    <xf numFmtId="164" fontId="29" fillId="0" borderId="0" xfId="0" applyNumberFormat="1" applyFont="1" applyFill="1"/>
    <xf numFmtId="165" fontId="26" fillId="0" borderId="0" xfId="0" applyNumberFormat="1" applyFont="1" applyFill="1"/>
    <xf numFmtId="0" fontId="39" fillId="0" borderId="0" xfId="0" applyFont="1" applyFill="1" applyAlignment="1">
      <alignment wrapText="1"/>
    </xf>
    <xf numFmtId="4" fontId="10" fillId="0" borderId="7" xfId="0" applyNumberFormat="1" applyFont="1" applyFill="1" applyBorder="1" applyAlignment="1" applyProtection="1">
      <alignment horizontal="right" vertical="center" wrapText="1"/>
    </xf>
    <xf numFmtId="166" fontId="36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Alignment="1"/>
    <xf numFmtId="0" fontId="6" fillId="0" borderId="0" xfId="0" applyNumberFormat="1" applyFont="1" applyFill="1" applyBorder="1" applyAlignment="1" applyProtection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18" fillId="4" borderId="3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8" fillId="4" borderId="3" xfId="0" applyNumberFormat="1" applyFont="1" applyFill="1" applyBorder="1" applyAlignment="1" applyProtection="1">
      <alignment horizontal="center" vertical="center" wrapText="1"/>
    </xf>
    <xf numFmtId="0" fontId="0" fillId="4" borderId="3" xfId="0" applyFill="1" applyBorder="1" applyAlignment="1">
      <alignment vertical="center"/>
    </xf>
    <xf numFmtId="0" fontId="0" fillId="0" borderId="2" xfId="0" applyBorder="1" applyAlignment="1"/>
    <xf numFmtId="0" fontId="0" fillId="0" borderId="0" xfId="0" applyBorder="1" applyAlignment="1"/>
    <xf numFmtId="0" fontId="1" fillId="4" borderId="3" xfId="0" applyFont="1" applyFill="1" applyBorder="1" applyAlignment="1">
      <alignment horizontal="center"/>
    </xf>
    <xf numFmtId="0" fontId="4" fillId="4" borderId="6" xfId="0" applyNumberFormat="1" applyFont="1" applyFill="1" applyBorder="1" applyAlignment="1" applyProtection="1">
      <alignment horizontal="right" vertical="center" wrapText="1"/>
    </xf>
    <xf numFmtId="0" fontId="4" fillId="4" borderId="4" xfId="0" applyNumberFormat="1" applyFont="1" applyFill="1" applyBorder="1" applyAlignment="1" applyProtection="1">
      <alignment horizontal="right" vertical="center" wrapText="1"/>
    </xf>
    <xf numFmtId="2" fontId="1" fillId="4" borderId="3" xfId="0" applyNumberFormat="1" applyFont="1" applyFill="1" applyBorder="1" applyAlignment="1">
      <alignment horizontal="center"/>
    </xf>
    <xf numFmtId="0" fontId="4" fillId="3" borderId="6" xfId="0" applyNumberFormat="1" applyFont="1" applyFill="1" applyBorder="1" applyAlignment="1" applyProtection="1">
      <alignment horizontal="left" vertical="center" wrapText="1"/>
    </xf>
    <xf numFmtId="0" fontId="4" fillId="3" borderId="4" xfId="0" applyNumberFormat="1" applyFont="1" applyFill="1" applyBorder="1" applyAlignment="1" applyProtection="1">
      <alignment horizontal="left" vertical="center" wrapText="1"/>
    </xf>
    <xf numFmtId="0" fontId="14" fillId="3" borderId="6" xfId="0" applyNumberFormat="1" applyFont="1" applyFill="1" applyBorder="1" applyAlignment="1" applyProtection="1">
      <alignment horizontal="left" vertical="center" wrapText="1"/>
    </xf>
    <xf numFmtId="0" fontId="14" fillId="3" borderId="4" xfId="0" applyNumberFormat="1" applyFont="1" applyFill="1" applyBorder="1" applyAlignment="1" applyProtection="1">
      <alignment horizontal="left" vertical="center" wrapText="1"/>
    </xf>
    <xf numFmtId="0" fontId="14" fillId="3" borderId="6" xfId="0" applyNumberFormat="1" applyFont="1" applyFill="1" applyBorder="1" applyAlignment="1" applyProtection="1">
      <alignment horizontal="left" vertical="top" wrapText="1"/>
    </xf>
    <xf numFmtId="0" fontId="14" fillId="3" borderId="4" xfId="0" applyNumberFormat="1" applyFont="1" applyFill="1" applyBorder="1" applyAlignment="1" applyProtection="1">
      <alignment horizontal="left" vertical="top" wrapText="1"/>
    </xf>
    <xf numFmtId="0" fontId="14" fillId="3" borderId="6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</cellXfs>
  <cellStyles count="6">
    <cellStyle name="Normal 2 2" xfId="1" xr:uid="{00000000-0005-0000-0000-000000000000}"/>
    <cellStyle name="Normal 3 3" xfId="2" xr:uid="{00000000-0005-0000-0000-000001000000}"/>
    <cellStyle name="Normal 6" xfId="5" xr:uid="{00000000-0005-0000-0000-000002000000}"/>
    <cellStyle name="Normalno" xfId="0" builtinId="0"/>
    <cellStyle name="Obično_List4" xfId="3" xr:uid="{00000000-0005-0000-0000-000004000000}"/>
    <cellStyle name="SAPBEXstdData" xfId="4" xr:uid="{00000000-0005-0000-0000-000005000000}"/>
  </cellStyles>
  <dxfs count="1">
    <dxf>
      <numFmt numFmtId="4" formatCode="#,##0.00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1251858</xdr:colOff>
      <xdr:row>0</xdr:row>
      <xdr:rowOff>27214</xdr:rowOff>
    </xdr:from>
    <xdr:to>
      <xdr:col>0</xdr:col>
      <xdr:colOff>2280558</xdr:colOff>
      <xdr:row>4</xdr:row>
      <xdr:rowOff>151039</xdr:rowOff>
    </xdr:to>
    <xdr:pic>
      <xdr:nvPicPr>
        <xdr:cNvPr id="5" name="Slika 4" descr="Unin_grb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1858" y="27214"/>
          <a:ext cx="1028700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haela" refreshedDate="43165.612805324075" createdVersion="3" refreshedVersion="3" minRefreshableVersion="3" recordCount="207" xr:uid="{00000000-000A-0000-FFFF-FFFF00000000}">
  <cacheSource type="worksheet">
    <worksheetSource ref="A3:L210" sheet="Sheet1"/>
  </cacheSource>
  <cacheFields count="12">
    <cacheField name="Naziv1" numFmtId="0">
      <sharedItems/>
    </cacheField>
    <cacheField name="Naziv2" numFmtId="0">
      <sharedItems/>
    </cacheField>
    <cacheField name="Naziv3" numFmtId="0">
      <sharedItems/>
    </cacheField>
    <cacheField name="Naziv4" numFmtId="0">
      <sharedItems count="8">
        <s v="A679047 Europske integracije"/>
        <s v="A6210 REDOVNA DJELATNOST-MZOS"/>
        <s v="A621002 REDOVNA DJELATNOST SVEUČILIŠTA U RIJECI-ViNP"/>
        <s v="A622122 PROGRAMSKO FINANCIRANJE JAVNIH VISOKIH UČILIŠTA"/>
        <s v="A622003 PROGRAMI I PROJEKTI ZNANSTVENOISTRAŽIVAČKE DJELATNOSTI"/>
        <s v="A622004 IZDAVANJE DOMAĆIH ZNANSTVENIH ČASOPISA"/>
        <s v="A622005 Organiziranje i održavanje znanstvenih skupova"/>
        <s v="A622006 IZDAVANJE ZNANSTVENIH UDŽBENIKA"/>
      </sharedItems>
    </cacheField>
    <cacheField name="Naziv5" numFmtId="0">
      <sharedItems count="45">
        <s v="3111 PLAĆE ZA REDOVAN RAD - BRUTO"/>
        <s v="3121 OSTALI RASHODI ZA ZAPOSLENE"/>
        <s v="3132 DOPRINOSI ZA OBVEZNO ZDRAVSTVENO OSIGURANJE"/>
        <s v="3133 DOPRINOSI ZA OBVEZNO OSIGURANJE U SLUČAJU NEZAPOSLENOSTI"/>
        <s v="3211 Službena putovanja"/>
        <s v="3212 Naknade za prijevoz, za rad na terenu i odvojeni život"/>
        <s v="3213 Stručno usavršavanje zaposlenika"/>
        <s v="3221 Uredski materijal i ostali materijalni rashodi"/>
        <s v="3231 Usluge telefona, pošte i prijevoza"/>
        <s v="3235 Zakupnine i najamnine"/>
        <s v="3237 Intelektualne i osobne usluge"/>
        <s v="3239 Ostale usluge"/>
        <s v="3293 Reprezentacija"/>
        <s v="3295 Pristojbe i naknade"/>
        <s v="3432 Negativne tečajne razlike i razlike zbog primjene valutne klauzule"/>
        <s v="3721 Naknade građanima i kućanstvima u novcu"/>
        <s v="4221 Uredska oprema i namještaj"/>
        <s v="3236 Zdravstvene i veterinarske usluge"/>
        <s v="3222 Materijal i sirovine"/>
        <s v="3223 Energija"/>
        <s v="3224 Materijal i dijelovi za tekuće i investicijsko održavanje"/>
        <s v="3227 Službena, radna i zaštitna odjeća i obuća"/>
        <s v="3232 Usluge tekućeg i investicijskog održavanja"/>
        <s v="3233 Usluge promidžbe i informiranja"/>
        <s v="3234 Komunalne usluge"/>
        <s v="3238 Računalne usluge"/>
        <s v="3241 Naknade troškova osobama izvan radnog odnosa"/>
        <s v="3292 Premije osiguranja"/>
        <s v="3294 Članarine"/>
        <s v="3299 Ostali nespomenuti rashodi poslovanja"/>
        <s v="3431 Bankarske usluge i usluge platnog prometa"/>
        <s v="3434 Ostali nespomenuti financijski rashodi"/>
        <s v="3691 Prijenosi između pror. korisnika istog proračuna"/>
        <s v="3722 Naknade građanima i kućanstvima u naravi"/>
        <s v="3811 Tekuće donacije u novcu"/>
        <s v="3831 Naknade šteta pravnim i fizičkim osobama"/>
        <s v="4123 Licence"/>
        <s v="4222 Komunikacijska oprema"/>
        <s v="4223 Oprema za održavanje i zaštitu"/>
        <s v="4224 Medicinska i laboratorijska oprema"/>
        <s v="4225 Instrumenti, uređaji i strojevi"/>
        <s v="4227 Uređaji, strojevi i oprema za ostale namjene"/>
        <s v="4233 Prijevozna sredstva u pomorskom i riječnom prometu"/>
        <s v="4241 Knjige"/>
        <s v="4264 Ostala nematerijalna proizvedena imovina"/>
      </sharedItems>
    </cacheField>
    <cacheField name="Planirani iznos" numFmtId="4">
      <sharedItems containsSemiMixedTypes="0" containsString="0" containsNumber="1" containsInteger="1" minValue="0" maxValue="15323000"/>
    </cacheField>
    <cacheField name="Realizirani iznos" numFmtId="4">
      <sharedItems containsSemiMixedTypes="0" containsString="0" containsNumber="1" minValue="0" maxValue="15217683.58"/>
    </cacheField>
    <cacheField name="Plaćeni iznos" numFmtId="4">
      <sharedItems containsSemiMixedTypes="0" containsString="0" containsNumber="1" containsInteger="1" minValue="0" maxValue="0"/>
    </cacheField>
    <cacheField name="Izvor financiranja" numFmtId="0">
      <sharedItems count="7">
        <s v="Pomoći EU (51)"/>
        <s v="Opći prihodi i primici"/>
        <s v="Vlastiti prihodi"/>
        <s v="Ostale pomoći i darovnice (52)"/>
        <s v="Ostali prihodi za posebne namjene"/>
        <s v="Donacije (6)"/>
        <s v="Prodaja ili zamjena nefinancijske imovine (7)"/>
      </sharedItems>
    </cacheField>
    <cacheField name="Planirani iznos2" numFmtId="4">
      <sharedItems containsSemiMixedTypes="0" containsString="0" containsNumber="1" containsInteger="1" minValue="0" maxValue="15323000"/>
    </cacheField>
    <cacheField name="Realizirani iznos2" numFmtId="4">
      <sharedItems containsSemiMixedTypes="0" containsString="0" containsNumber="1" minValue="0" maxValue="15217683.58"/>
    </cacheField>
    <cacheField name="Plaćeni iznos2" numFmtId="4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7">
  <r>
    <s v="202 PLAN RASHODA"/>
    <s v="237 OBRAZOVANJE"/>
    <s v="23701 RAZVOJ ODGOJNO OBRAZOVNOG SUSTAVA"/>
    <x v="0"/>
    <x v="0"/>
    <n v="395000"/>
    <n v="653178.09"/>
    <n v="0"/>
    <x v="0"/>
    <n v="88000"/>
    <n v="175381.91"/>
    <n v="0"/>
  </r>
  <r>
    <s v="202 PLAN RASHODA"/>
    <s v="237 OBRAZOVANJE"/>
    <s v="23701 RAZVOJ ODGOJNO OBRAZOVNOG SUSTAVA"/>
    <x v="0"/>
    <x v="0"/>
    <n v="0"/>
    <n v="0"/>
    <n v="0"/>
    <x v="1"/>
    <n v="0"/>
    <n v="100929.11"/>
    <n v="0"/>
  </r>
  <r>
    <s v="202 PLAN RASHODA"/>
    <s v="237 OBRAZOVANJE"/>
    <s v="23701 RAZVOJ ODGOJNO OBRAZOVNOG SUSTAVA"/>
    <x v="0"/>
    <x v="0"/>
    <n v="0"/>
    <n v="0"/>
    <n v="0"/>
    <x v="2"/>
    <n v="307000"/>
    <n v="376867.07"/>
    <n v="0"/>
  </r>
  <r>
    <s v="202 PLAN RASHODA"/>
    <s v="237 OBRAZOVANJE"/>
    <s v="23701 RAZVOJ ODGOJNO OBRAZOVNOG SUSTAVA"/>
    <x v="0"/>
    <x v="1"/>
    <n v="2500"/>
    <n v="2500"/>
    <n v="0"/>
    <x v="2"/>
    <n v="2500"/>
    <n v="2500"/>
    <n v="0"/>
  </r>
  <r>
    <s v="202 PLAN RASHODA"/>
    <s v="237 OBRAZOVANJE"/>
    <s v="23701 RAZVOJ ODGOJNO OBRAZOVNOG SUSTAVA"/>
    <x v="0"/>
    <x v="2"/>
    <n v="73600"/>
    <n v="101242.6"/>
    <n v="0"/>
    <x v="2"/>
    <n v="60000"/>
    <n v="58414.41"/>
    <n v="0"/>
  </r>
  <r>
    <s v="202 PLAN RASHODA"/>
    <s v="237 OBRAZOVANJE"/>
    <s v="23701 RAZVOJ ODGOJNO OBRAZOVNOG SUSTAVA"/>
    <x v="0"/>
    <x v="2"/>
    <n v="0"/>
    <n v="0"/>
    <n v="0"/>
    <x v="0"/>
    <n v="13600"/>
    <n v="27184.19"/>
    <n v="0"/>
  </r>
  <r>
    <s v="202 PLAN RASHODA"/>
    <s v="237 OBRAZOVANJE"/>
    <s v="23701 RAZVOJ ODGOJNO OBRAZOVNOG SUSTAVA"/>
    <x v="0"/>
    <x v="2"/>
    <n v="0"/>
    <n v="0"/>
    <n v="0"/>
    <x v="1"/>
    <n v="0"/>
    <n v="15644"/>
    <n v="0"/>
  </r>
  <r>
    <s v="202 PLAN RASHODA"/>
    <s v="237 OBRAZOVANJE"/>
    <s v="23701 RAZVOJ ODGOJNO OBRAZOVNOG SUSTAVA"/>
    <x v="0"/>
    <x v="3"/>
    <n v="7700"/>
    <n v="11104.04"/>
    <n v="0"/>
    <x v="1"/>
    <n v="0"/>
    <n v="1715.79"/>
    <n v="0"/>
  </r>
  <r>
    <s v="202 PLAN RASHODA"/>
    <s v="237 OBRAZOVANJE"/>
    <s v="23701 RAZVOJ ODGOJNO OBRAZOVNOG SUSTAVA"/>
    <x v="0"/>
    <x v="3"/>
    <n v="0"/>
    <n v="0"/>
    <n v="0"/>
    <x v="0"/>
    <n v="1500"/>
    <n v="2981.5"/>
    <n v="0"/>
  </r>
  <r>
    <s v="202 PLAN RASHODA"/>
    <s v="237 OBRAZOVANJE"/>
    <s v="23701 RAZVOJ ODGOJNO OBRAZOVNOG SUSTAVA"/>
    <x v="0"/>
    <x v="3"/>
    <n v="0"/>
    <n v="0"/>
    <n v="0"/>
    <x v="2"/>
    <n v="6200"/>
    <n v="6406.75"/>
    <n v="0"/>
  </r>
  <r>
    <s v="202 PLAN RASHODA"/>
    <s v="237 OBRAZOVANJE"/>
    <s v="23701 RAZVOJ ODGOJNO OBRAZOVNOG SUSTAVA"/>
    <x v="0"/>
    <x v="4"/>
    <n v="40200"/>
    <n v="59643.65"/>
    <n v="0"/>
    <x v="2"/>
    <n v="30000"/>
    <n v="51884.76"/>
    <n v="0"/>
  </r>
  <r>
    <s v="202 PLAN RASHODA"/>
    <s v="237 OBRAZOVANJE"/>
    <s v="23701 RAZVOJ ODGOJNO OBRAZOVNOG SUSTAVA"/>
    <x v="0"/>
    <x v="4"/>
    <n v="0"/>
    <n v="0"/>
    <n v="0"/>
    <x v="0"/>
    <n v="10200"/>
    <n v="7758.89"/>
    <n v="0"/>
  </r>
  <r>
    <s v="202 PLAN RASHODA"/>
    <s v="237 OBRAZOVANJE"/>
    <s v="23701 RAZVOJ ODGOJNO OBRAZOVNOG SUSTAVA"/>
    <x v="0"/>
    <x v="5"/>
    <n v="2500"/>
    <n v="2511.63"/>
    <n v="0"/>
    <x v="2"/>
    <n v="2500"/>
    <n v="2511.63"/>
    <n v="0"/>
  </r>
  <r>
    <s v="202 PLAN RASHODA"/>
    <s v="237 OBRAZOVANJE"/>
    <s v="23701 RAZVOJ ODGOJNO OBRAZOVNOG SUSTAVA"/>
    <x v="0"/>
    <x v="6"/>
    <n v="1900"/>
    <n v="0"/>
    <n v="0"/>
    <x v="0"/>
    <n v="1900"/>
    <n v="0"/>
    <n v="0"/>
  </r>
  <r>
    <s v="202 PLAN RASHODA"/>
    <s v="237 OBRAZOVANJE"/>
    <s v="23701 RAZVOJ ODGOJNO OBRAZOVNOG SUSTAVA"/>
    <x v="0"/>
    <x v="7"/>
    <n v="500"/>
    <n v="250"/>
    <n v="0"/>
    <x v="0"/>
    <n v="500"/>
    <n v="0"/>
    <n v="0"/>
  </r>
  <r>
    <s v="202 PLAN RASHODA"/>
    <s v="237 OBRAZOVANJE"/>
    <s v="23701 RAZVOJ ODGOJNO OBRAZOVNOG SUSTAVA"/>
    <x v="0"/>
    <x v="7"/>
    <n v="0"/>
    <n v="0"/>
    <n v="0"/>
    <x v="2"/>
    <n v="0"/>
    <n v="250"/>
    <n v="0"/>
  </r>
  <r>
    <s v="202 PLAN RASHODA"/>
    <s v="237 OBRAZOVANJE"/>
    <s v="23701 RAZVOJ ODGOJNO OBRAZOVNOG SUSTAVA"/>
    <x v="0"/>
    <x v="8"/>
    <n v="1000"/>
    <n v="675.85"/>
    <n v="0"/>
    <x v="2"/>
    <n v="1000"/>
    <n v="675.85"/>
    <n v="0"/>
  </r>
  <r>
    <s v="202 PLAN RASHODA"/>
    <s v="237 OBRAZOVANJE"/>
    <s v="23701 RAZVOJ ODGOJNO OBRAZOVNOG SUSTAVA"/>
    <x v="0"/>
    <x v="9"/>
    <n v="4300"/>
    <n v="0"/>
    <n v="0"/>
    <x v="0"/>
    <n v="4300"/>
    <n v="0"/>
    <n v="0"/>
  </r>
  <r>
    <s v="202 PLAN RASHODA"/>
    <s v="237 OBRAZOVANJE"/>
    <s v="23701 RAZVOJ ODGOJNO OBRAZOVNOG SUSTAVA"/>
    <x v="0"/>
    <x v="10"/>
    <n v="6000"/>
    <n v="3850"/>
    <n v="0"/>
    <x v="2"/>
    <n v="4000"/>
    <n v="3850"/>
    <n v="0"/>
  </r>
  <r>
    <s v="202 PLAN RASHODA"/>
    <s v="237 OBRAZOVANJE"/>
    <s v="23701 RAZVOJ ODGOJNO OBRAZOVNOG SUSTAVA"/>
    <x v="0"/>
    <x v="10"/>
    <n v="0"/>
    <n v="0"/>
    <n v="0"/>
    <x v="0"/>
    <n v="2000"/>
    <n v="0"/>
    <n v="0"/>
  </r>
  <r>
    <s v="202 PLAN RASHODA"/>
    <s v="237 OBRAZOVANJE"/>
    <s v="23701 RAZVOJ ODGOJNO OBRAZOVNOG SUSTAVA"/>
    <x v="0"/>
    <x v="11"/>
    <n v="1000"/>
    <n v="562.5"/>
    <n v="0"/>
    <x v="2"/>
    <n v="1000"/>
    <n v="562.5"/>
    <n v="0"/>
  </r>
  <r>
    <s v="202 PLAN RASHODA"/>
    <s v="237 OBRAZOVANJE"/>
    <s v="23701 RAZVOJ ODGOJNO OBRAZOVNOG SUSTAVA"/>
    <x v="0"/>
    <x v="12"/>
    <n v="12600"/>
    <n v="9286.5"/>
    <n v="0"/>
    <x v="2"/>
    <n v="5400"/>
    <n v="5309"/>
    <n v="0"/>
  </r>
  <r>
    <s v="202 PLAN RASHODA"/>
    <s v="237 OBRAZOVANJE"/>
    <s v="23701 RAZVOJ ODGOJNO OBRAZOVNOG SUSTAVA"/>
    <x v="0"/>
    <x v="12"/>
    <n v="0"/>
    <n v="0"/>
    <n v="0"/>
    <x v="0"/>
    <n v="7200"/>
    <n v="3977.5"/>
    <n v="0"/>
  </r>
  <r>
    <s v="202 PLAN RASHODA"/>
    <s v="237 OBRAZOVANJE"/>
    <s v="23701 RAZVOJ ODGOJNO OBRAZOVNOG SUSTAVA"/>
    <x v="0"/>
    <x v="13"/>
    <n v="100"/>
    <n v="50"/>
    <n v="0"/>
    <x v="2"/>
    <n v="0"/>
    <n v="50"/>
    <n v="0"/>
  </r>
  <r>
    <s v="202 PLAN RASHODA"/>
    <s v="237 OBRAZOVANJE"/>
    <s v="23701 RAZVOJ ODGOJNO OBRAZOVNOG SUSTAVA"/>
    <x v="0"/>
    <x v="13"/>
    <n v="0"/>
    <n v="0"/>
    <n v="0"/>
    <x v="0"/>
    <n v="100"/>
    <n v="0"/>
    <n v="0"/>
  </r>
  <r>
    <s v="202 PLAN RASHODA"/>
    <s v="237 OBRAZOVANJE"/>
    <s v="23701 RAZVOJ ODGOJNO OBRAZOVNOG SUSTAVA"/>
    <x v="0"/>
    <x v="14"/>
    <n v="0"/>
    <n v="15.57"/>
    <n v="0"/>
    <x v="0"/>
    <n v="0"/>
    <n v="15.57"/>
    <n v="0"/>
  </r>
  <r>
    <s v="202 PLAN RASHODA"/>
    <s v="237 OBRAZOVANJE"/>
    <s v="23701 RAZVOJ ODGOJNO OBRAZOVNOG SUSTAVA"/>
    <x v="0"/>
    <x v="15"/>
    <n v="11400"/>
    <n v="0"/>
    <n v="0"/>
    <x v="3"/>
    <n v="11400"/>
    <n v="0"/>
    <n v="0"/>
  </r>
  <r>
    <s v="202 PLAN RASHODA"/>
    <s v="237 OBRAZOVANJE"/>
    <s v="23701 RAZVOJ ODGOJNO OBRAZOVNOG SUSTAVA"/>
    <x v="0"/>
    <x v="16"/>
    <n v="27000"/>
    <n v="26098"/>
    <n v="0"/>
    <x v="2"/>
    <n v="27000"/>
    <n v="26098"/>
    <n v="0"/>
  </r>
  <r>
    <s v="202 PLAN RASHODA"/>
    <s v="237 OBRAZOVANJE"/>
    <s v="23705 VISOKO OBRAZOVANJE"/>
    <x v="1"/>
    <x v="0"/>
    <n v="15323000"/>
    <n v="15217683.58"/>
    <n v="0"/>
    <x v="1"/>
    <n v="15323000"/>
    <n v="15217683.58"/>
    <n v="0"/>
  </r>
  <r>
    <s v="202 PLAN RASHODA"/>
    <s v="237 OBRAZOVANJE"/>
    <s v="23705 VISOKO OBRAZOVANJE"/>
    <x v="1"/>
    <x v="1"/>
    <n v="409210"/>
    <n v="408384.63"/>
    <n v="0"/>
    <x v="1"/>
    <n v="409210"/>
    <n v="408384.63"/>
    <n v="0"/>
  </r>
  <r>
    <s v="202 PLAN RASHODA"/>
    <s v="237 OBRAZOVANJE"/>
    <s v="23705 VISOKO OBRAZOVANJE"/>
    <x v="1"/>
    <x v="2"/>
    <n v="2360000"/>
    <n v="2358428.75"/>
    <n v="0"/>
    <x v="1"/>
    <n v="2360000"/>
    <n v="2358428.75"/>
    <n v="0"/>
  </r>
  <r>
    <s v="202 PLAN RASHODA"/>
    <s v="237 OBRAZOVANJE"/>
    <s v="23705 VISOKO OBRAZOVANJE"/>
    <x v="1"/>
    <x v="3"/>
    <n v="256000"/>
    <n v="258625.02"/>
    <n v="0"/>
    <x v="1"/>
    <n v="256000"/>
    <n v="258625.02"/>
    <n v="0"/>
  </r>
  <r>
    <s v="202 PLAN RASHODA"/>
    <s v="237 OBRAZOVANJE"/>
    <s v="23705 VISOKO OBRAZOVANJE"/>
    <x v="1"/>
    <x v="5"/>
    <n v="327853"/>
    <n v="328699.65999999997"/>
    <n v="0"/>
    <x v="1"/>
    <n v="327853"/>
    <n v="328699.65999999997"/>
    <n v="0"/>
  </r>
  <r>
    <s v="202 PLAN RASHODA"/>
    <s v="237 OBRAZOVANJE"/>
    <s v="23705 VISOKO OBRAZOVANJE"/>
    <x v="1"/>
    <x v="17"/>
    <n v="22770"/>
    <n v="7500"/>
    <n v="0"/>
    <x v="1"/>
    <n v="22770"/>
    <n v="7500"/>
    <n v="0"/>
  </r>
  <r>
    <s v="202 PLAN RASHODA"/>
    <s v="237 OBRAZOVANJE"/>
    <s v="23705 VISOKO OBRAZOVANJE"/>
    <x v="1"/>
    <x v="13"/>
    <n v="35240"/>
    <n v="35240.400000000001"/>
    <n v="0"/>
    <x v="1"/>
    <n v="35240"/>
    <n v="35240.400000000001"/>
    <n v="0"/>
  </r>
  <r>
    <s v="202 PLAN RASHODA"/>
    <s v="237 OBRAZOVANJE"/>
    <s v="23705 VISOKO OBRAZOVANJE"/>
    <x v="2"/>
    <x v="0"/>
    <n v="3900000"/>
    <n v="3898921.02"/>
    <n v="0"/>
    <x v="4"/>
    <n v="1970000"/>
    <n v="1842681.88"/>
    <n v="0"/>
  </r>
  <r>
    <s v="202 PLAN RASHODA"/>
    <s v="237 OBRAZOVANJE"/>
    <s v="23705 VISOKO OBRAZOVANJE"/>
    <x v="2"/>
    <x v="0"/>
    <n v="0"/>
    <n v="0"/>
    <n v="0"/>
    <x v="3"/>
    <n v="30000"/>
    <n v="26877.14"/>
    <n v="0"/>
  </r>
  <r>
    <s v="202 PLAN RASHODA"/>
    <s v="237 OBRAZOVANJE"/>
    <s v="23705 VISOKO OBRAZOVANJE"/>
    <x v="2"/>
    <x v="0"/>
    <n v="0"/>
    <n v="0"/>
    <n v="0"/>
    <x v="2"/>
    <n v="1900000"/>
    <n v="2029362"/>
    <n v="0"/>
  </r>
  <r>
    <s v="202 PLAN RASHODA"/>
    <s v="237 OBRAZOVANJE"/>
    <s v="23705 VISOKO OBRAZOVANJE"/>
    <x v="2"/>
    <x v="1"/>
    <n v="110000"/>
    <n v="41260"/>
    <n v="0"/>
    <x v="4"/>
    <n v="20000"/>
    <n v="0"/>
    <n v="0"/>
  </r>
  <r>
    <s v="202 PLAN RASHODA"/>
    <s v="237 OBRAZOVANJE"/>
    <s v="23705 VISOKO OBRAZOVANJE"/>
    <x v="2"/>
    <x v="1"/>
    <n v="0"/>
    <n v="0"/>
    <n v="0"/>
    <x v="2"/>
    <n v="90000"/>
    <n v="41260"/>
    <n v="0"/>
  </r>
  <r>
    <s v="202 PLAN RASHODA"/>
    <s v="237 OBRAZOVANJE"/>
    <s v="23705 VISOKO OBRAZOVANJE"/>
    <x v="2"/>
    <x v="2"/>
    <n v="590000"/>
    <n v="605420.68999999994"/>
    <n v="0"/>
    <x v="4"/>
    <n v="290000"/>
    <n v="285956.63"/>
    <n v="0"/>
  </r>
  <r>
    <s v="202 PLAN RASHODA"/>
    <s v="237 OBRAZOVANJE"/>
    <s v="23705 VISOKO OBRAZOVANJE"/>
    <x v="2"/>
    <x v="2"/>
    <n v="0"/>
    <n v="0"/>
    <n v="0"/>
    <x v="3"/>
    <n v="5000"/>
    <n v="4165.95"/>
    <n v="0"/>
  </r>
  <r>
    <s v="202 PLAN RASHODA"/>
    <s v="237 OBRAZOVANJE"/>
    <s v="23705 VISOKO OBRAZOVANJE"/>
    <x v="2"/>
    <x v="2"/>
    <n v="0"/>
    <n v="0"/>
    <n v="0"/>
    <x v="2"/>
    <n v="295000"/>
    <n v="315298.11"/>
    <n v="0"/>
  </r>
  <r>
    <s v="202 PLAN RASHODA"/>
    <s v="237 OBRAZOVANJE"/>
    <s v="23705 VISOKO OBRAZOVANJE"/>
    <x v="2"/>
    <x v="3"/>
    <n v="74000"/>
    <n v="66319.070000000007"/>
    <n v="0"/>
    <x v="3"/>
    <n v="2000"/>
    <n v="456.92"/>
    <n v="0"/>
  </r>
  <r>
    <s v="202 PLAN RASHODA"/>
    <s v="237 OBRAZOVANJE"/>
    <s v="23705 VISOKO OBRAZOVANJE"/>
    <x v="2"/>
    <x v="3"/>
    <n v="0"/>
    <n v="0"/>
    <n v="0"/>
    <x v="2"/>
    <n v="32000"/>
    <n v="34499.24"/>
    <n v="0"/>
  </r>
  <r>
    <s v="202 PLAN RASHODA"/>
    <s v="237 OBRAZOVANJE"/>
    <s v="23705 VISOKO OBRAZOVANJE"/>
    <x v="2"/>
    <x v="3"/>
    <n v="0"/>
    <n v="0"/>
    <n v="0"/>
    <x v="4"/>
    <n v="40000"/>
    <n v="31362.91"/>
    <n v="0"/>
  </r>
  <r>
    <s v="202 PLAN RASHODA"/>
    <s v="237 OBRAZOVANJE"/>
    <s v="23705 VISOKO OBRAZOVANJE"/>
    <x v="2"/>
    <x v="4"/>
    <n v="605000"/>
    <n v="517468.38"/>
    <n v="0"/>
    <x v="2"/>
    <n v="255000"/>
    <n v="311773.65999999997"/>
    <n v="0"/>
  </r>
  <r>
    <s v="202 PLAN RASHODA"/>
    <s v="237 OBRAZOVANJE"/>
    <s v="23705 VISOKO OBRAZOVANJE"/>
    <x v="2"/>
    <x v="4"/>
    <n v="0"/>
    <n v="0"/>
    <n v="0"/>
    <x v="4"/>
    <n v="260000"/>
    <n v="122608.24"/>
    <n v="0"/>
  </r>
  <r>
    <s v="202 PLAN RASHODA"/>
    <s v="237 OBRAZOVANJE"/>
    <s v="23705 VISOKO OBRAZOVANJE"/>
    <x v="2"/>
    <x v="4"/>
    <n v="0"/>
    <n v="0"/>
    <n v="0"/>
    <x v="3"/>
    <n v="90000"/>
    <n v="83086.48"/>
    <n v="0"/>
  </r>
  <r>
    <s v="202 PLAN RASHODA"/>
    <s v="237 OBRAZOVANJE"/>
    <s v="23705 VISOKO OBRAZOVANJE"/>
    <x v="2"/>
    <x v="5"/>
    <n v="7000"/>
    <n v="4120.3599999999997"/>
    <n v="0"/>
    <x v="2"/>
    <n v="5000"/>
    <n v="4120.3599999999997"/>
    <n v="0"/>
  </r>
  <r>
    <s v="202 PLAN RASHODA"/>
    <s v="237 OBRAZOVANJE"/>
    <s v="23705 VISOKO OBRAZOVANJE"/>
    <x v="2"/>
    <x v="5"/>
    <n v="0"/>
    <n v="0"/>
    <n v="0"/>
    <x v="3"/>
    <n v="2000"/>
    <n v="0"/>
    <n v="0"/>
  </r>
  <r>
    <s v="202 PLAN RASHODA"/>
    <s v="237 OBRAZOVANJE"/>
    <s v="23705 VISOKO OBRAZOVANJE"/>
    <x v="2"/>
    <x v="6"/>
    <n v="116000"/>
    <n v="114909.47"/>
    <n v="0"/>
    <x v="4"/>
    <n v="60000"/>
    <n v="64022.22"/>
    <n v="0"/>
  </r>
  <r>
    <s v="202 PLAN RASHODA"/>
    <s v="237 OBRAZOVANJE"/>
    <s v="23705 VISOKO OBRAZOVANJE"/>
    <x v="2"/>
    <x v="6"/>
    <n v="0"/>
    <n v="0"/>
    <n v="0"/>
    <x v="3"/>
    <n v="6000"/>
    <n v="5453.51"/>
    <n v="0"/>
  </r>
  <r>
    <s v="202 PLAN RASHODA"/>
    <s v="237 OBRAZOVANJE"/>
    <s v="23705 VISOKO OBRAZOVANJE"/>
    <x v="2"/>
    <x v="6"/>
    <n v="0"/>
    <n v="0"/>
    <n v="0"/>
    <x v="2"/>
    <n v="50000"/>
    <n v="45433.74"/>
    <n v="0"/>
  </r>
  <r>
    <s v="202 PLAN RASHODA"/>
    <s v="237 OBRAZOVANJE"/>
    <s v="23705 VISOKO OBRAZOVANJE"/>
    <x v="2"/>
    <x v="7"/>
    <n v="320000"/>
    <n v="279462.26"/>
    <n v="0"/>
    <x v="3"/>
    <n v="10000"/>
    <n v="5642.6"/>
    <n v="0"/>
  </r>
  <r>
    <s v="202 PLAN RASHODA"/>
    <s v="237 OBRAZOVANJE"/>
    <s v="23705 VISOKO OBRAZOVANJE"/>
    <x v="2"/>
    <x v="7"/>
    <n v="0"/>
    <n v="0"/>
    <n v="0"/>
    <x v="2"/>
    <n v="60000"/>
    <n v="50443.360000000001"/>
    <n v="0"/>
  </r>
  <r>
    <s v="202 PLAN RASHODA"/>
    <s v="237 OBRAZOVANJE"/>
    <s v="23705 VISOKO OBRAZOVANJE"/>
    <x v="2"/>
    <x v="7"/>
    <n v="0"/>
    <n v="0"/>
    <n v="0"/>
    <x v="4"/>
    <n v="250000"/>
    <n v="223376.3"/>
    <n v="0"/>
  </r>
  <r>
    <s v="202 PLAN RASHODA"/>
    <s v="237 OBRAZOVANJE"/>
    <s v="23705 VISOKO OBRAZOVANJE"/>
    <x v="2"/>
    <x v="18"/>
    <n v="2000"/>
    <n v="1056.25"/>
    <n v="0"/>
    <x v="2"/>
    <n v="2000"/>
    <n v="1056.25"/>
    <n v="0"/>
  </r>
  <r>
    <s v="202 PLAN RASHODA"/>
    <s v="237 OBRAZOVANJE"/>
    <s v="23705 VISOKO OBRAZOVANJE"/>
    <x v="2"/>
    <x v="19"/>
    <n v="55300"/>
    <n v="14298.2"/>
    <n v="0"/>
    <x v="4"/>
    <n v="20000"/>
    <n v="13588.45"/>
    <n v="0"/>
  </r>
  <r>
    <s v="202 PLAN RASHODA"/>
    <s v="237 OBRAZOVANJE"/>
    <s v="23705 VISOKO OBRAZOVANJE"/>
    <x v="2"/>
    <x v="19"/>
    <n v="0"/>
    <n v="0"/>
    <n v="0"/>
    <x v="2"/>
    <n v="3000"/>
    <n v="709.75"/>
    <n v="0"/>
  </r>
  <r>
    <s v="202 PLAN RASHODA"/>
    <s v="237 OBRAZOVANJE"/>
    <s v="23705 VISOKO OBRAZOVANJE"/>
    <x v="2"/>
    <x v="19"/>
    <n v="0"/>
    <n v="0"/>
    <n v="0"/>
    <x v="3"/>
    <n v="32300"/>
    <n v="0"/>
    <n v="0"/>
  </r>
  <r>
    <s v="202 PLAN RASHODA"/>
    <s v="237 OBRAZOVANJE"/>
    <s v="23705 VISOKO OBRAZOVANJE"/>
    <x v="2"/>
    <x v="20"/>
    <n v="48000"/>
    <n v="66272.28"/>
    <n v="0"/>
    <x v="2"/>
    <n v="10000"/>
    <n v="29217.68"/>
    <n v="0"/>
  </r>
  <r>
    <s v="202 PLAN RASHODA"/>
    <s v="237 OBRAZOVANJE"/>
    <s v="23705 VISOKO OBRAZOVANJE"/>
    <x v="2"/>
    <x v="20"/>
    <n v="0"/>
    <n v="0"/>
    <n v="0"/>
    <x v="4"/>
    <n v="38000"/>
    <n v="37054.6"/>
    <n v="0"/>
  </r>
  <r>
    <s v="202 PLAN RASHODA"/>
    <s v="237 OBRAZOVANJE"/>
    <s v="23705 VISOKO OBRAZOVANJE"/>
    <x v="2"/>
    <x v="21"/>
    <n v="20000"/>
    <n v="19485.16"/>
    <n v="0"/>
    <x v="4"/>
    <n v="20000"/>
    <n v="19485.16"/>
    <n v="0"/>
  </r>
  <r>
    <s v="202 PLAN RASHODA"/>
    <s v="237 OBRAZOVANJE"/>
    <s v="23705 VISOKO OBRAZOVANJE"/>
    <x v="2"/>
    <x v="8"/>
    <n v="95000"/>
    <n v="60479.48"/>
    <n v="0"/>
    <x v="4"/>
    <n v="60000"/>
    <n v="44399.87"/>
    <n v="0"/>
  </r>
  <r>
    <s v="202 PLAN RASHODA"/>
    <s v="237 OBRAZOVANJE"/>
    <s v="23705 VISOKO OBRAZOVANJE"/>
    <x v="2"/>
    <x v="8"/>
    <n v="0"/>
    <n v="0"/>
    <n v="0"/>
    <x v="2"/>
    <n v="25000"/>
    <n v="9014.84"/>
    <n v="0"/>
  </r>
  <r>
    <s v="202 PLAN RASHODA"/>
    <s v="237 OBRAZOVANJE"/>
    <s v="23705 VISOKO OBRAZOVANJE"/>
    <x v="2"/>
    <x v="8"/>
    <n v="0"/>
    <n v="0"/>
    <n v="0"/>
    <x v="3"/>
    <n v="10000"/>
    <n v="7064.77"/>
    <n v="0"/>
  </r>
  <r>
    <s v="202 PLAN RASHODA"/>
    <s v="237 OBRAZOVANJE"/>
    <s v="23705 VISOKO OBRAZOVANJE"/>
    <x v="2"/>
    <x v="22"/>
    <n v="700000"/>
    <n v="694140"/>
    <n v="0"/>
    <x v="4"/>
    <n v="615000"/>
    <n v="619590.22"/>
    <n v="0"/>
  </r>
  <r>
    <s v="202 PLAN RASHODA"/>
    <s v="237 OBRAZOVANJE"/>
    <s v="23705 VISOKO OBRAZOVANJE"/>
    <x v="2"/>
    <x v="22"/>
    <n v="0"/>
    <n v="0"/>
    <n v="0"/>
    <x v="2"/>
    <n v="35000"/>
    <n v="30197.72"/>
    <n v="0"/>
  </r>
  <r>
    <s v="202 PLAN RASHODA"/>
    <s v="237 OBRAZOVANJE"/>
    <s v="23705 VISOKO OBRAZOVANJE"/>
    <x v="2"/>
    <x v="22"/>
    <n v="0"/>
    <n v="0"/>
    <n v="0"/>
    <x v="3"/>
    <n v="50000"/>
    <n v="44352.06"/>
    <n v="0"/>
  </r>
  <r>
    <s v="202 PLAN RASHODA"/>
    <s v="237 OBRAZOVANJE"/>
    <s v="23705 VISOKO OBRAZOVANJE"/>
    <x v="2"/>
    <x v="23"/>
    <n v="51000"/>
    <n v="14330.79"/>
    <n v="0"/>
    <x v="2"/>
    <n v="1000"/>
    <n v="1321.91"/>
    <n v="0"/>
  </r>
  <r>
    <s v="202 PLAN RASHODA"/>
    <s v="237 OBRAZOVANJE"/>
    <s v="23705 VISOKO OBRAZOVANJE"/>
    <x v="2"/>
    <x v="23"/>
    <n v="0"/>
    <n v="0"/>
    <n v="0"/>
    <x v="4"/>
    <n v="50000"/>
    <n v="13008.88"/>
    <n v="0"/>
  </r>
  <r>
    <s v="202 PLAN RASHODA"/>
    <s v="237 OBRAZOVANJE"/>
    <s v="23705 VISOKO OBRAZOVANJE"/>
    <x v="2"/>
    <x v="24"/>
    <n v="97250"/>
    <n v="37684.85"/>
    <n v="0"/>
    <x v="2"/>
    <n v="10000"/>
    <n v="3988.13"/>
    <n v="0"/>
  </r>
  <r>
    <s v="202 PLAN RASHODA"/>
    <s v="237 OBRAZOVANJE"/>
    <s v="23705 VISOKO OBRAZOVANJE"/>
    <x v="2"/>
    <x v="24"/>
    <n v="0"/>
    <n v="0"/>
    <n v="0"/>
    <x v="4"/>
    <n v="87250"/>
    <n v="33696.720000000001"/>
    <n v="0"/>
  </r>
  <r>
    <s v="202 PLAN RASHODA"/>
    <s v="237 OBRAZOVANJE"/>
    <s v="23705 VISOKO OBRAZOVANJE"/>
    <x v="2"/>
    <x v="9"/>
    <n v="258152"/>
    <n v="327435.57"/>
    <n v="0"/>
    <x v="3"/>
    <n v="17152"/>
    <n v="4222.58"/>
    <n v="0"/>
  </r>
  <r>
    <s v="202 PLAN RASHODA"/>
    <s v="237 OBRAZOVANJE"/>
    <s v="23705 VISOKO OBRAZOVANJE"/>
    <x v="2"/>
    <x v="9"/>
    <n v="0"/>
    <n v="0"/>
    <n v="0"/>
    <x v="4"/>
    <n v="121000"/>
    <n v="151428.54999999999"/>
    <n v="0"/>
  </r>
  <r>
    <s v="202 PLAN RASHODA"/>
    <s v="237 OBRAZOVANJE"/>
    <s v="23705 VISOKO OBRAZOVANJE"/>
    <x v="2"/>
    <x v="9"/>
    <n v="0"/>
    <n v="0"/>
    <n v="0"/>
    <x v="2"/>
    <n v="120000"/>
    <n v="171784.44"/>
    <n v="0"/>
  </r>
  <r>
    <s v="202 PLAN RASHODA"/>
    <s v="237 OBRAZOVANJE"/>
    <s v="23705 VISOKO OBRAZOVANJE"/>
    <x v="2"/>
    <x v="17"/>
    <n v="3000"/>
    <n v="9985"/>
    <n v="0"/>
    <x v="2"/>
    <n v="3000"/>
    <n v="3685"/>
    <n v="0"/>
  </r>
  <r>
    <s v="202 PLAN RASHODA"/>
    <s v="237 OBRAZOVANJE"/>
    <s v="23705 VISOKO OBRAZOVANJE"/>
    <x v="2"/>
    <x v="17"/>
    <n v="0"/>
    <n v="0"/>
    <n v="0"/>
    <x v="4"/>
    <n v="0"/>
    <n v="6300"/>
    <n v="0"/>
  </r>
  <r>
    <s v="202 PLAN RASHODA"/>
    <s v="237 OBRAZOVANJE"/>
    <s v="23705 VISOKO OBRAZOVANJE"/>
    <x v="2"/>
    <x v="10"/>
    <n v="2619100"/>
    <n v="2579719.83"/>
    <n v="0"/>
    <x v="4"/>
    <n v="1405000"/>
    <n v="449199.08"/>
    <n v="0"/>
  </r>
  <r>
    <s v="202 PLAN RASHODA"/>
    <s v="237 OBRAZOVANJE"/>
    <s v="23705 VISOKO OBRAZOVANJE"/>
    <x v="2"/>
    <x v="10"/>
    <n v="0"/>
    <n v="0"/>
    <n v="0"/>
    <x v="2"/>
    <n v="949100"/>
    <n v="2027362.68"/>
    <n v="0"/>
  </r>
  <r>
    <s v="202 PLAN RASHODA"/>
    <s v="237 OBRAZOVANJE"/>
    <s v="23705 VISOKO OBRAZOVANJE"/>
    <x v="2"/>
    <x v="10"/>
    <n v="0"/>
    <n v="0"/>
    <n v="0"/>
    <x v="3"/>
    <n v="265000"/>
    <n v="103158.07"/>
    <n v="0"/>
  </r>
  <r>
    <s v="202 PLAN RASHODA"/>
    <s v="237 OBRAZOVANJE"/>
    <s v="23705 VISOKO OBRAZOVANJE"/>
    <x v="2"/>
    <x v="25"/>
    <n v="20000"/>
    <n v="40610.06"/>
    <n v="0"/>
    <x v="4"/>
    <n v="20000"/>
    <n v="40610.06"/>
    <n v="0"/>
  </r>
  <r>
    <s v="202 PLAN RASHODA"/>
    <s v="237 OBRAZOVANJE"/>
    <s v="23705 VISOKO OBRAZOVANJE"/>
    <x v="2"/>
    <x v="11"/>
    <n v="165000"/>
    <n v="152695.17000000001"/>
    <n v="0"/>
    <x v="3"/>
    <n v="15000"/>
    <n v="8762.5"/>
    <n v="0"/>
  </r>
  <r>
    <s v="202 PLAN RASHODA"/>
    <s v="237 OBRAZOVANJE"/>
    <s v="23705 VISOKO OBRAZOVANJE"/>
    <x v="2"/>
    <x v="11"/>
    <n v="0"/>
    <n v="0"/>
    <n v="0"/>
    <x v="5"/>
    <n v="20000"/>
    <n v="0"/>
    <n v="0"/>
  </r>
  <r>
    <s v="202 PLAN RASHODA"/>
    <s v="237 OBRAZOVANJE"/>
    <s v="23705 VISOKO OBRAZOVANJE"/>
    <x v="2"/>
    <x v="11"/>
    <n v="0"/>
    <n v="0"/>
    <n v="0"/>
    <x v="4"/>
    <n v="75000"/>
    <n v="75399.75"/>
    <n v="0"/>
  </r>
  <r>
    <s v="202 PLAN RASHODA"/>
    <s v="237 OBRAZOVANJE"/>
    <s v="23705 VISOKO OBRAZOVANJE"/>
    <x v="2"/>
    <x v="11"/>
    <n v="0"/>
    <n v="0"/>
    <n v="0"/>
    <x v="2"/>
    <n v="55000"/>
    <n v="68532.92"/>
    <n v="0"/>
  </r>
  <r>
    <s v="202 PLAN RASHODA"/>
    <s v="237 OBRAZOVANJE"/>
    <s v="23705 VISOKO OBRAZOVANJE"/>
    <x v="2"/>
    <x v="26"/>
    <n v="17848"/>
    <n v="30824.45"/>
    <n v="0"/>
    <x v="3"/>
    <n v="7848"/>
    <n v="27189.56"/>
    <n v="0"/>
  </r>
  <r>
    <s v="202 PLAN RASHODA"/>
    <s v="237 OBRAZOVANJE"/>
    <s v="23705 VISOKO OBRAZOVANJE"/>
    <x v="2"/>
    <x v="26"/>
    <n v="0"/>
    <n v="0"/>
    <n v="0"/>
    <x v="2"/>
    <n v="10000"/>
    <n v="3634.89"/>
    <n v="0"/>
  </r>
  <r>
    <s v="202 PLAN RASHODA"/>
    <s v="237 OBRAZOVANJE"/>
    <s v="23705 VISOKO OBRAZOVANJE"/>
    <x v="2"/>
    <x v="27"/>
    <n v="500"/>
    <n v="19476.27"/>
    <n v="0"/>
    <x v="4"/>
    <n v="0"/>
    <n v="540.32000000000005"/>
    <n v="0"/>
  </r>
  <r>
    <s v="202 PLAN RASHODA"/>
    <s v="237 OBRAZOVANJE"/>
    <s v="23705 VISOKO OBRAZOVANJE"/>
    <x v="2"/>
    <x v="27"/>
    <n v="0"/>
    <n v="0"/>
    <n v="0"/>
    <x v="2"/>
    <n v="500"/>
    <n v="18935.95"/>
    <n v="0"/>
  </r>
  <r>
    <s v="202 PLAN RASHODA"/>
    <s v="237 OBRAZOVANJE"/>
    <s v="23705 VISOKO OBRAZOVANJE"/>
    <x v="2"/>
    <x v="12"/>
    <n v="230900"/>
    <n v="155131.69"/>
    <n v="0"/>
    <x v="5"/>
    <n v="0"/>
    <n v="6071.5"/>
    <n v="0"/>
  </r>
  <r>
    <s v="202 PLAN RASHODA"/>
    <s v="237 OBRAZOVANJE"/>
    <s v="23705 VISOKO OBRAZOVANJE"/>
    <x v="2"/>
    <x v="12"/>
    <n v="0"/>
    <n v="0"/>
    <n v="0"/>
    <x v="3"/>
    <n v="10000"/>
    <n v="9816.76"/>
    <n v="0"/>
  </r>
  <r>
    <s v="202 PLAN RASHODA"/>
    <s v="237 OBRAZOVANJE"/>
    <s v="23705 VISOKO OBRAZOVANJE"/>
    <x v="2"/>
    <x v="12"/>
    <n v="0"/>
    <n v="0"/>
    <n v="0"/>
    <x v="2"/>
    <n v="155900"/>
    <n v="123140.13"/>
    <n v="0"/>
  </r>
  <r>
    <s v="202 PLAN RASHODA"/>
    <s v="237 OBRAZOVANJE"/>
    <s v="23705 VISOKO OBRAZOVANJE"/>
    <x v="2"/>
    <x v="12"/>
    <n v="0"/>
    <n v="0"/>
    <n v="0"/>
    <x v="4"/>
    <n v="65000"/>
    <n v="16103.3"/>
    <n v="0"/>
  </r>
  <r>
    <s v="202 PLAN RASHODA"/>
    <s v="237 OBRAZOVANJE"/>
    <s v="23705 VISOKO OBRAZOVANJE"/>
    <x v="2"/>
    <x v="28"/>
    <n v="38000"/>
    <n v="73181.61"/>
    <n v="0"/>
    <x v="3"/>
    <n v="0"/>
    <n v="70"/>
    <n v="0"/>
  </r>
  <r>
    <s v="202 PLAN RASHODA"/>
    <s v="237 OBRAZOVANJE"/>
    <s v="23705 VISOKO OBRAZOVANJE"/>
    <x v="2"/>
    <x v="28"/>
    <n v="0"/>
    <n v="0"/>
    <n v="0"/>
    <x v="4"/>
    <n v="28000"/>
    <n v="62101.81"/>
    <n v="0"/>
  </r>
  <r>
    <s v="202 PLAN RASHODA"/>
    <s v="237 OBRAZOVANJE"/>
    <s v="23705 VISOKO OBRAZOVANJE"/>
    <x v="2"/>
    <x v="28"/>
    <n v="0"/>
    <n v="0"/>
    <n v="0"/>
    <x v="2"/>
    <n v="10000"/>
    <n v="11009.8"/>
    <n v="0"/>
  </r>
  <r>
    <s v="202 PLAN RASHODA"/>
    <s v="237 OBRAZOVANJE"/>
    <s v="23705 VISOKO OBRAZOVANJE"/>
    <x v="2"/>
    <x v="13"/>
    <n v="18200"/>
    <n v="11478.5"/>
    <n v="0"/>
    <x v="2"/>
    <n v="15000"/>
    <n v="11126"/>
    <n v="0"/>
  </r>
  <r>
    <s v="202 PLAN RASHODA"/>
    <s v="237 OBRAZOVANJE"/>
    <s v="23705 VISOKO OBRAZOVANJE"/>
    <x v="2"/>
    <x v="13"/>
    <n v="0"/>
    <n v="0"/>
    <n v="0"/>
    <x v="3"/>
    <n v="3000"/>
    <n v="0"/>
    <n v="0"/>
  </r>
  <r>
    <s v="202 PLAN RASHODA"/>
    <s v="237 OBRAZOVANJE"/>
    <s v="23705 VISOKO OBRAZOVANJE"/>
    <x v="2"/>
    <x v="13"/>
    <n v="0"/>
    <n v="0"/>
    <n v="0"/>
    <x v="4"/>
    <n v="200"/>
    <n v="352.5"/>
    <n v="0"/>
  </r>
  <r>
    <s v="202 PLAN RASHODA"/>
    <s v="237 OBRAZOVANJE"/>
    <s v="23705 VISOKO OBRAZOVANJE"/>
    <x v="2"/>
    <x v="29"/>
    <n v="288000"/>
    <n v="156373.43"/>
    <n v="0"/>
    <x v="4"/>
    <n v="150000"/>
    <n v="124751.23"/>
    <n v="0"/>
  </r>
  <r>
    <s v="202 PLAN RASHODA"/>
    <s v="237 OBRAZOVANJE"/>
    <s v="23705 VISOKO OBRAZOVANJE"/>
    <x v="2"/>
    <x v="29"/>
    <n v="0"/>
    <n v="0"/>
    <n v="0"/>
    <x v="2"/>
    <n v="120000"/>
    <n v="16296.74"/>
    <n v="0"/>
  </r>
  <r>
    <s v="202 PLAN RASHODA"/>
    <s v="237 OBRAZOVANJE"/>
    <s v="23705 VISOKO OBRAZOVANJE"/>
    <x v="2"/>
    <x v="29"/>
    <n v="0"/>
    <n v="0"/>
    <n v="0"/>
    <x v="3"/>
    <n v="18000"/>
    <n v="15325.46"/>
    <n v="0"/>
  </r>
  <r>
    <s v="202 PLAN RASHODA"/>
    <s v="237 OBRAZOVANJE"/>
    <s v="23705 VISOKO OBRAZOVANJE"/>
    <x v="2"/>
    <x v="30"/>
    <n v="28550"/>
    <n v="24130.33"/>
    <n v="0"/>
    <x v="2"/>
    <n v="28000"/>
    <n v="22034.57"/>
    <n v="0"/>
  </r>
  <r>
    <s v="202 PLAN RASHODA"/>
    <s v="237 OBRAZOVANJE"/>
    <s v="23705 VISOKO OBRAZOVANJE"/>
    <x v="2"/>
    <x v="30"/>
    <n v="0"/>
    <n v="0"/>
    <n v="0"/>
    <x v="4"/>
    <n v="550"/>
    <n v="2095.7600000000002"/>
    <n v="0"/>
  </r>
  <r>
    <s v="202 PLAN RASHODA"/>
    <s v="237 OBRAZOVANJE"/>
    <s v="23705 VISOKO OBRAZOVANJE"/>
    <x v="2"/>
    <x v="14"/>
    <n v="12000"/>
    <n v="16780.54"/>
    <n v="0"/>
    <x v="2"/>
    <n v="12000"/>
    <n v="14784.66"/>
    <n v="0"/>
  </r>
  <r>
    <s v="202 PLAN RASHODA"/>
    <s v="237 OBRAZOVANJE"/>
    <s v="23705 VISOKO OBRAZOVANJE"/>
    <x v="2"/>
    <x v="14"/>
    <n v="0"/>
    <n v="0"/>
    <n v="0"/>
    <x v="4"/>
    <n v="0"/>
    <n v="1812.54"/>
    <n v="0"/>
  </r>
  <r>
    <s v="202 PLAN RASHODA"/>
    <s v="237 OBRAZOVANJE"/>
    <s v="23705 VISOKO OBRAZOVANJE"/>
    <x v="2"/>
    <x v="14"/>
    <n v="0"/>
    <n v="0"/>
    <n v="0"/>
    <x v="3"/>
    <n v="0"/>
    <n v="183.34"/>
    <n v="0"/>
  </r>
  <r>
    <s v="202 PLAN RASHODA"/>
    <s v="237 OBRAZOVANJE"/>
    <s v="23705 VISOKO OBRAZOVANJE"/>
    <x v="2"/>
    <x v="31"/>
    <n v="0"/>
    <n v="111"/>
    <n v="0"/>
    <x v="2"/>
    <n v="0"/>
    <n v="111"/>
    <n v="0"/>
  </r>
  <r>
    <s v="202 PLAN RASHODA"/>
    <s v="237 OBRAZOVANJE"/>
    <s v="23705 VISOKO OBRAZOVANJE"/>
    <x v="2"/>
    <x v="32"/>
    <n v="0"/>
    <n v="299960"/>
    <n v="0"/>
    <x v="2"/>
    <n v="0"/>
    <n v="299960"/>
    <n v="0"/>
  </r>
  <r>
    <s v="202 PLAN RASHODA"/>
    <s v="237 OBRAZOVANJE"/>
    <s v="23705 VISOKO OBRAZOVANJE"/>
    <x v="2"/>
    <x v="15"/>
    <n v="0"/>
    <n v="11400"/>
    <n v="0"/>
    <x v="3"/>
    <n v="0"/>
    <n v="11400"/>
    <n v="0"/>
  </r>
  <r>
    <s v="202 PLAN RASHODA"/>
    <s v="237 OBRAZOVANJE"/>
    <s v="23705 VISOKO OBRAZOVANJE"/>
    <x v="2"/>
    <x v="33"/>
    <n v="30000"/>
    <n v="35661.25"/>
    <n v="0"/>
    <x v="4"/>
    <n v="30000"/>
    <n v="35661.25"/>
    <n v="0"/>
  </r>
  <r>
    <s v="202 PLAN RASHODA"/>
    <s v="237 OBRAZOVANJE"/>
    <s v="23705 VISOKO OBRAZOVANJE"/>
    <x v="2"/>
    <x v="34"/>
    <n v="53000"/>
    <n v="55300"/>
    <n v="0"/>
    <x v="5"/>
    <n v="0"/>
    <n v="1000"/>
    <n v="0"/>
  </r>
  <r>
    <s v="202 PLAN RASHODA"/>
    <s v="237 OBRAZOVANJE"/>
    <s v="23705 VISOKO OBRAZOVANJE"/>
    <x v="2"/>
    <x v="34"/>
    <n v="0"/>
    <n v="0"/>
    <n v="0"/>
    <x v="4"/>
    <n v="27000"/>
    <n v="42000"/>
    <n v="0"/>
  </r>
  <r>
    <s v="202 PLAN RASHODA"/>
    <s v="237 OBRAZOVANJE"/>
    <s v="23705 VISOKO OBRAZOVANJE"/>
    <x v="2"/>
    <x v="34"/>
    <n v="0"/>
    <n v="0"/>
    <n v="0"/>
    <x v="2"/>
    <n v="25000"/>
    <n v="12300"/>
    <n v="0"/>
  </r>
  <r>
    <s v="202 PLAN RASHODA"/>
    <s v="237 OBRAZOVANJE"/>
    <s v="23705 VISOKO OBRAZOVANJE"/>
    <x v="2"/>
    <x v="34"/>
    <n v="0"/>
    <n v="0"/>
    <n v="0"/>
    <x v="3"/>
    <n v="1000"/>
    <n v="0"/>
    <n v="0"/>
  </r>
  <r>
    <s v="202 PLAN RASHODA"/>
    <s v="237 OBRAZOVANJE"/>
    <s v="23705 VISOKO OBRAZOVANJE"/>
    <x v="2"/>
    <x v="35"/>
    <n v="0"/>
    <n v="125.66"/>
    <n v="0"/>
    <x v="2"/>
    <n v="0"/>
    <n v="125.66"/>
    <n v="0"/>
  </r>
  <r>
    <s v="202 PLAN RASHODA"/>
    <s v="237 OBRAZOVANJE"/>
    <s v="23705 VISOKO OBRAZOVANJE"/>
    <x v="2"/>
    <x v="36"/>
    <n v="235000"/>
    <n v="225911.86"/>
    <n v="0"/>
    <x v="3"/>
    <n v="150000"/>
    <n v="143568.75"/>
    <n v="0"/>
  </r>
  <r>
    <s v="202 PLAN RASHODA"/>
    <s v="237 OBRAZOVANJE"/>
    <s v="23705 VISOKO OBRAZOVANJE"/>
    <x v="2"/>
    <x v="36"/>
    <n v="0"/>
    <n v="0"/>
    <n v="0"/>
    <x v="4"/>
    <n v="85000"/>
    <n v="82343.11"/>
    <n v="0"/>
  </r>
  <r>
    <s v="202 PLAN RASHODA"/>
    <s v="237 OBRAZOVANJE"/>
    <s v="23705 VISOKO OBRAZOVANJE"/>
    <x v="2"/>
    <x v="16"/>
    <n v="620000"/>
    <n v="612266.86"/>
    <n v="0"/>
    <x v="6"/>
    <n v="0"/>
    <n v="5954.65"/>
    <n v="0"/>
  </r>
  <r>
    <s v="202 PLAN RASHODA"/>
    <s v="237 OBRAZOVANJE"/>
    <s v="23705 VISOKO OBRAZOVANJE"/>
    <x v="2"/>
    <x v="16"/>
    <n v="0"/>
    <n v="0"/>
    <n v="0"/>
    <x v="4"/>
    <n v="520000"/>
    <n v="557022.62"/>
    <n v="0"/>
  </r>
  <r>
    <s v="202 PLAN RASHODA"/>
    <s v="237 OBRAZOVANJE"/>
    <s v="23705 VISOKO OBRAZOVANJE"/>
    <x v="2"/>
    <x v="16"/>
    <n v="0"/>
    <n v="0"/>
    <n v="0"/>
    <x v="3"/>
    <n v="15000"/>
    <n v="14812.5"/>
    <n v="0"/>
  </r>
  <r>
    <s v="202 PLAN RASHODA"/>
    <s v="237 OBRAZOVANJE"/>
    <s v="23705 VISOKO OBRAZOVANJE"/>
    <x v="2"/>
    <x v="16"/>
    <n v="0"/>
    <n v="0"/>
    <n v="0"/>
    <x v="5"/>
    <n v="45000"/>
    <n v="0"/>
    <n v="0"/>
  </r>
  <r>
    <s v="202 PLAN RASHODA"/>
    <s v="237 OBRAZOVANJE"/>
    <s v="23705 VISOKO OBRAZOVANJE"/>
    <x v="2"/>
    <x v="16"/>
    <n v="0"/>
    <n v="0"/>
    <n v="0"/>
    <x v="2"/>
    <n v="40000"/>
    <n v="34477.089999999997"/>
    <n v="0"/>
  </r>
  <r>
    <s v="202 PLAN RASHODA"/>
    <s v="237 OBRAZOVANJE"/>
    <s v="23705 VISOKO OBRAZOVANJE"/>
    <x v="2"/>
    <x v="37"/>
    <n v="25000"/>
    <n v="21295.89"/>
    <n v="0"/>
    <x v="2"/>
    <n v="15000"/>
    <n v="12154.63"/>
    <n v="0"/>
  </r>
  <r>
    <s v="202 PLAN RASHODA"/>
    <s v="237 OBRAZOVANJE"/>
    <s v="23705 VISOKO OBRAZOVANJE"/>
    <x v="2"/>
    <x v="37"/>
    <n v="0"/>
    <n v="0"/>
    <n v="0"/>
    <x v="4"/>
    <n v="10000"/>
    <n v="9141.26"/>
    <n v="0"/>
  </r>
  <r>
    <s v="202 PLAN RASHODA"/>
    <s v="237 OBRAZOVANJE"/>
    <s v="23705 VISOKO OBRAZOVANJE"/>
    <x v="2"/>
    <x v="38"/>
    <n v="38000"/>
    <n v="30927.32"/>
    <n v="0"/>
    <x v="4"/>
    <n v="30000"/>
    <n v="29466.880000000001"/>
    <n v="0"/>
  </r>
  <r>
    <s v="202 PLAN RASHODA"/>
    <s v="237 OBRAZOVANJE"/>
    <s v="23705 VISOKO OBRAZOVANJE"/>
    <x v="2"/>
    <x v="38"/>
    <n v="0"/>
    <n v="0"/>
    <n v="0"/>
    <x v="2"/>
    <n v="8000"/>
    <n v="1460.44"/>
    <n v="0"/>
  </r>
  <r>
    <s v="202 PLAN RASHODA"/>
    <s v="237 OBRAZOVANJE"/>
    <s v="23705 VISOKO OBRAZOVANJE"/>
    <x v="2"/>
    <x v="39"/>
    <n v="300000"/>
    <n v="379950.03"/>
    <n v="0"/>
    <x v="4"/>
    <n v="300000"/>
    <n v="253844.97"/>
    <n v="0"/>
  </r>
  <r>
    <s v="202 PLAN RASHODA"/>
    <s v="237 OBRAZOVANJE"/>
    <s v="23705 VISOKO OBRAZOVANJE"/>
    <x v="2"/>
    <x v="39"/>
    <n v="0"/>
    <n v="0"/>
    <n v="0"/>
    <x v="3"/>
    <n v="0"/>
    <n v="126105.06"/>
    <n v="0"/>
  </r>
  <r>
    <s v="202 PLAN RASHODA"/>
    <s v="237 OBRAZOVANJE"/>
    <s v="23705 VISOKO OBRAZOVANJE"/>
    <x v="2"/>
    <x v="40"/>
    <n v="60000"/>
    <n v="53413.38"/>
    <n v="0"/>
    <x v="4"/>
    <n v="60000"/>
    <n v="53413.38"/>
    <n v="0"/>
  </r>
  <r>
    <s v="202 PLAN RASHODA"/>
    <s v="237 OBRAZOVANJE"/>
    <s v="23705 VISOKO OBRAZOVANJE"/>
    <x v="2"/>
    <x v="41"/>
    <n v="133000"/>
    <n v="0"/>
    <n v="0"/>
    <x v="3"/>
    <n v="125000"/>
    <n v="0"/>
    <n v="0"/>
  </r>
  <r>
    <s v="202 PLAN RASHODA"/>
    <s v="237 OBRAZOVANJE"/>
    <s v="23705 VISOKO OBRAZOVANJE"/>
    <x v="2"/>
    <x v="41"/>
    <n v="0"/>
    <n v="0"/>
    <n v="0"/>
    <x v="6"/>
    <n v="8000"/>
    <n v="0"/>
    <n v="0"/>
  </r>
  <r>
    <s v="202 PLAN RASHODA"/>
    <s v="237 OBRAZOVANJE"/>
    <s v="23705 VISOKO OBRAZOVANJE"/>
    <x v="2"/>
    <x v="42"/>
    <n v="18000"/>
    <n v="17525"/>
    <n v="0"/>
    <x v="4"/>
    <n v="18000"/>
    <n v="17525"/>
    <n v="0"/>
  </r>
  <r>
    <s v="202 PLAN RASHODA"/>
    <s v="237 OBRAZOVANJE"/>
    <s v="23705 VISOKO OBRAZOVANJE"/>
    <x v="2"/>
    <x v="43"/>
    <n v="48900"/>
    <n v="56426.73"/>
    <n v="0"/>
    <x v="5"/>
    <n v="0"/>
    <n v="9168.2000000000007"/>
    <n v="0"/>
  </r>
  <r>
    <s v="202 PLAN RASHODA"/>
    <s v="237 OBRAZOVANJE"/>
    <s v="23705 VISOKO OBRAZOVANJE"/>
    <x v="2"/>
    <x v="43"/>
    <n v="0"/>
    <n v="0"/>
    <n v="0"/>
    <x v="4"/>
    <n v="40000"/>
    <n v="46838.53"/>
    <n v="0"/>
  </r>
  <r>
    <s v="202 PLAN RASHODA"/>
    <s v="237 OBRAZOVANJE"/>
    <s v="23705 VISOKO OBRAZOVANJE"/>
    <x v="2"/>
    <x v="43"/>
    <n v="0"/>
    <n v="0"/>
    <n v="0"/>
    <x v="3"/>
    <n v="4000"/>
    <n v="0"/>
    <n v="0"/>
  </r>
  <r>
    <s v="202 PLAN RASHODA"/>
    <s v="237 OBRAZOVANJE"/>
    <s v="23705 VISOKO OBRAZOVANJE"/>
    <x v="2"/>
    <x v="43"/>
    <n v="0"/>
    <n v="0"/>
    <n v="0"/>
    <x v="2"/>
    <n v="4900"/>
    <n v="420"/>
    <n v="0"/>
  </r>
  <r>
    <s v="202 PLAN RASHODA"/>
    <s v="237 OBRAZOVANJE"/>
    <s v="23705 VISOKO OBRAZOVANJE"/>
    <x v="2"/>
    <x v="44"/>
    <n v="0"/>
    <n v="15000"/>
    <n v="0"/>
    <x v="2"/>
    <n v="0"/>
    <n v="2750"/>
    <n v="0"/>
  </r>
  <r>
    <s v="202 PLAN RASHODA"/>
    <s v="237 OBRAZOVANJE"/>
    <s v="23705 VISOKO OBRAZOVANJE"/>
    <x v="2"/>
    <x v="44"/>
    <n v="0"/>
    <n v="0"/>
    <n v="0"/>
    <x v="4"/>
    <n v="0"/>
    <n v="12250"/>
    <n v="0"/>
  </r>
  <r>
    <s v="202 PLAN RASHODA"/>
    <s v="237 OBRAZOVANJE"/>
    <s v="23705 VISOKO OBRAZOVANJE"/>
    <x v="3"/>
    <x v="0"/>
    <n v="1435000"/>
    <n v="1434365.27"/>
    <n v="0"/>
    <x v="1"/>
    <n v="1435000"/>
    <n v="1434365.27"/>
    <n v="0"/>
  </r>
  <r>
    <s v="202 PLAN RASHODA"/>
    <s v="237 OBRAZOVANJE"/>
    <s v="23705 VISOKO OBRAZOVANJE"/>
    <x v="3"/>
    <x v="2"/>
    <n v="223000"/>
    <n v="222326.61"/>
    <n v="0"/>
    <x v="1"/>
    <n v="223000"/>
    <n v="222326.61"/>
    <n v="0"/>
  </r>
  <r>
    <s v="202 PLAN RASHODA"/>
    <s v="237 OBRAZOVANJE"/>
    <s v="23705 VISOKO OBRAZOVANJE"/>
    <x v="3"/>
    <x v="3"/>
    <n v="24000"/>
    <n v="24384.16"/>
    <n v="0"/>
    <x v="1"/>
    <n v="24000"/>
    <n v="24384.16"/>
    <n v="0"/>
  </r>
  <r>
    <s v="202 PLAN RASHODA"/>
    <s v="237 OBRAZOVANJE"/>
    <s v="23705 VISOKO OBRAZOVANJE"/>
    <x v="3"/>
    <x v="4"/>
    <n v="26000"/>
    <n v="32659.91"/>
    <n v="0"/>
    <x v="1"/>
    <n v="26000"/>
    <n v="32659.91"/>
    <n v="0"/>
  </r>
  <r>
    <s v="202 PLAN RASHODA"/>
    <s v="237 OBRAZOVANJE"/>
    <s v="23705 VISOKO OBRAZOVANJE"/>
    <x v="3"/>
    <x v="6"/>
    <n v="35000"/>
    <n v="46247.5"/>
    <n v="0"/>
    <x v="1"/>
    <n v="35000"/>
    <n v="46247.5"/>
    <n v="0"/>
  </r>
  <r>
    <s v="202 PLAN RASHODA"/>
    <s v="237 OBRAZOVANJE"/>
    <s v="23705 VISOKO OBRAZOVANJE"/>
    <x v="3"/>
    <x v="7"/>
    <n v="82000"/>
    <n v="82935.649999999994"/>
    <n v="0"/>
    <x v="1"/>
    <n v="82000"/>
    <n v="82935.649999999994"/>
    <n v="0"/>
  </r>
  <r>
    <s v="202 PLAN RASHODA"/>
    <s v="237 OBRAZOVANJE"/>
    <s v="23705 VISOKO OBRAZOVANJE"/>
    <x v="3"/>
    <x v="18"/>
    <n v="0"/>
    <n v="642.83000000000004"/>
    <n v="0"/>
    <x v="1"/>
    <n v="0"/>
    <n v="642.83000000000004"/>
    <n v="0"/>
  </r>
  <r>
    <s v="202 PLAN RASHODA"/>
    <s v="237 OBRAZOVANJE"/>
    <s v="23705 VISOKO OBRAZOVANJE"/>
    <x v="3"/>
    <x v="19"/>
    <n v="354209"/>
    <n v="397719.01"/>
    <n v="0"/>
    <x v="1"/>
    <n v="354209"/>
    <n v="397719.01"/>
    <n v="0"/>
  </r>
  <r>
    <s v="202 PLAN RASHODA"/>
    <s v="237 OBRAZOVANJE"/>
    <s v="23705 VISOKO OBRAZOVANJE"/>
    <x v="3"/>
    <x v="20"/>
    <n v="10000"/>
    <n v="7325.63"/>
    <n v="0"/>
    <x v="1"/>
    <n v="10000"/>
    <n v="7325.63"/>
    <n v="0"/>
  </r>
  <r>
    <s v="202 PLAN RASHODA"/>
    <s v="237 OBRAZOVANJE"/>
    <s v="23705 VISOKO OBRAZOVANJE"/>
    <x v="3"/>
    <x v="21"/>
    <n v="6000"/>
    <n v="4407.88"/>
    <n v="0"/>
    <x v="1"/>
    <n v="6000"/>
    <n v="4407.88"/>
    <n v="0"/>
  </r>
  <r>
    <s v="202 PLAN RASHODA"/>
    <s v="237 OBRAZOVANJE"/>
    <s v="23705 VISOKO OBRAZOVANJE"/>
    <x v="3"/>
    <x v="8"/>
    <n v="35000"/>
    <n v="35198.480000000003"/>
    <n v="0"/>
    <x v="1"/>
    <n v="35000"/>
    <n v="35198.480000000003"/>
    <n v="0"/>
  </r>
  <r>
    <s v="202 PLAN RASHODA"/>
    <s v="237 OBRAZOVANJE"/>
    <s v="23705 VISOKO OBRAZOVANJE"/>
    <x v="3"/>
    <x v="22"/>
    <n v="75000"/>
    <n v="18755.009999999998"/>
    <n v="0"/>
    <x v="1"/>
    <n v="75000"/>
    <n v="18755.009999999998"/>
    <n v="0"/>
  </r>
  <r>
    <s v="202 PLAN RASHODA"/>
    <s v="237 OBRAZOVANJE"/>
    <s v="23705 VISOKO OBRAZOVANJE"/>
    <x v="3"/>
    <x v="23"/>
    <n v="60000"/>
    <n v="75251.87"/>
    <n v="0"/>
    <x v="1"/>
    <n v="60000"/>
    <n v="75251.87"/>
    <n v="0"/>
  </r>
  <r>
    <s v="202 PLAN RASHODA"/>
    <s v="237 OBRAZOVANJE"/>
    <s v="23705 VISOKO OBRAZOVANJE"/>
    <x v="3"/>
    <x v="24"/>
    <n v="119791"/>
    <n v="183354.2"/>
    <n v="0"/>
    <x v="1"/>
    <n v="119791"/>
    <n v="183354.2"/>
    <n v="0"/>
  </r>
  <r>
    <s v="202 PLAN RASHODA"/>
    <s v="237 OBRAZOVANJE"/>
    <s v="23705 VISOKO OBRAZOVANJE"/>
    <x v="3"/>
    <x v="9"/>
    <n v="45000"/>
    <n v="52119.5"/>
    <n v="0"/>
    <x v="1"/>
    <n v="45000"/>
    <n v="52119.5"/>
    <n v="0"/>
  </r>
  <r>
    <s v="202 PLAN RASHODA"/>
    <s v="237 OBRAZOVANJE"/>
    <s v="23705 VISOKO OBRAZOVANJE"/>
    <x v="3"/>
    <x v="10"/>
    <n v="500000"/>
    <n v="504470.13"/>
    <n v="0"/>
    <x v="1"/>
    <n v="500000"/>
    <n v="504470.13"/>
    <n v="0"/>
  </r>
  <r>
    <s v="202 PLAN RASHODA"/>
    <s v="237 OBRAZOVANJE"/>
    <s v="23705 VISOKO OBRAZOVANJE"/>
    <x v="3"/>
    <x v="25"/>
    <n v="70000"/>
    <n v="70204.59"/>
    <n v="0"/>
    <x v="1"/>
    <n v="70000"/>
    <n v="70204.59"/>
    <n v="0"/>
  </r>
  <r>
    <s v="202 PLAN RASHODA"/>
    <s v="237 OBRAZOVANJE"/>
    <s v="23705 VISOKO OBRAZOVANJE"/>
    <x v="3"/>
    <x v="11"/>
    <n v="0"/>
    <n v="450"/>
    <n v="0"/>
    <x v="1"/>
    <n v="0"/>
    <n v="450"/>
    <n v="0"/>
  </r>
  <r>
    <s v="202 PLAN RASHODA"/>
    <s v="237 OBRAZOVANJE"/>
    <s v="23705 VISOKO OBRAZOVANJE"/>
    <x v="3"/>
    <x v="27"/>
    <n v="120000"/>
    <n v="92747"/>
    <n v="0"/>
    <x v="1"/>
    <n v="120000"/>
    <n v="92747"/>
    <n v="0"/>
  </r>
  <r>
    <s v="202 PLAN RASHODA"/>
    <s v="237 OBRAZOVANJE"/>
    <s v="23705 VISOKO OBRAZOVANJE"/>
    <x v="3"/>
    <x v="12"/>
    <n v="40000"/>
    <n v="0"/>
    <n v="0"/>
    <x v="1"/>
    <n v="40000"/>
    <n v="0"/>
    <n v="0"/>
  </r>
  <r>
    <s v="202 PLAN RASHODA"/>
    <s v="237 OBRAZOVANJE"/>
    <s v="23705 VISOKO OBRAZOVANJE"/>
    <x v="3"/>
    <x v="28"/>
    <n v="20000"/>
    <n v="9756.5"/>
    <n v="0"/>
    <x v="1"/>
    <n v="20000"/>
    <n v="9756.5"/>
    <n v="0"/>
  </r>
  <r>
    <s v="202 PLAN RASHODA"/>
    <s v="237 OBRAZOVANJE"/>
    <s v="23705 VISOKO OBRAZOVANJE"/>
    <x v="3"/>
    <x v="13"/>
    <n v="0"/>
    <n v="362.5"/>
    <n v="0"/>
    <x v="1"/>
    <n v="0"/>
    <n v="362.5"/>
    <n v="0"/>
  </r>
  <r>
    <s v="202 PLAN RASHODA"/>
    <s v="237 OBRAZOVANJE"/>
    <s v="23705 VISOKO OBRAZOVANJE"/>
    <x v="3"/>
    <x v="29"/>
    <n v="100000"/>
    <n v="97993.5"/>
    <n v="0"/>
    <x v="1"/>
    <n v="100000"/>
    <n v="97993.5"/>
    <n v="0"/>
  </r>
  <r>
    <s v="202 PLAN RASHODA"/>
    <s v="237 OBRAZOVANJE"/>
    <s v="23705 VISOKO OBRAZOVANJE"/>
    <x v="3"/>
    <x v="30"/>
    <n v="20000"/>
    <n v="16903.27"/>
    <n v="0"/>
    <x v="1"/>
    <n v="20000"/>
    <n v="16903.27"/>
    <n v="0"/>
  </r>
  <r>
    <s v="202 PLAN RASHODA"/>
    <s v="238 ZNANOST I TEHNOLOŠKI RAZVOJ"/>
    <s v="23801 ULAGANJE U ZNANSTVENO ISTRAŽIVAČKU DJELATNOST"/>
    <x v="4"/>
    <x v="2"/>
    <n v="0"/>
    <n v="137.27000000000001"/>
    <n v="0"/>
    <x v="4"/>
    <n v="0"/>
    <n v="137.27000000000001"/>
    <n v="0"/>
  </r>
  <r>
    <s v="202 PLAN RASHODA"/>
    <s v="238 ZNANOST I TEHNOLOŠKI RAZVOJ"/>
    <s v="23801 ULAGANJE U ZNANSTVENO ISTRAŽIVAČKU DJELATNOST"/>
    <x v="4"/>
    <x v="4"/>
    <n v="60342"/>
    <n v="69747.48"/>
    <n v="0"/>
    <x v="2"/>
    <n v="0"/>
    <n v="0"/>
    <n v="0"/>
  </r>
  <r>
    <s v="202 PLAN RASHODA"/>
    <s v="238 ZNANOST I TEHNOLOŠKI RAZVOJ"/>
    <s v="23801 ULAGANJE U ZNANSTVENO ISTRAŽIVAČKU DJELATNOST"/>
    <x v="4"/>
    <x v="4"/>
    <n v="0"/>
    <n v="0"/>
    <n v="0"/>
    <x v="4"/>
    <n v="42000"/>
    <n v="41748.839999999997"/>
    <n v="0"/>
  </r>
  <r>
    <s v="202 PLAN RASHODA"/>
    <s v="238 ZNANOST I TEHNOLOŠKI RAZVOJ"/>
    <s v="23801 ULAGANJE U ZNANSTVENO ISTRAŽIVAČKU DJELATNOST"/>
    <x v="4"/>
    <x v="4"/>
    <n v="0"/>
    <n v="0"/>
    <n v="0"/>
    <x v="1"/>
    <n v="18342"/>
    <n v="27998.639999999999"/>
    <n v="0"/>
  </r>
  <r>
    <s v="202 PLAN RASHODA"/>
    <s v="238 ZNANOST I TEHNOLOŠKI RAZVOJ"/>
    <s v="23801 ULAGANJE U ZNANSTVENO ISTRAŽIVAČKU DJELATNOST"/>
    <x v="4"/>
    <x v="6"/>
    <n v="19359"/>
    <n v="22492.11"/>
    <n v="0"/>
    <x v="4"/>
    <n v="4000"/>
    <n v="3000"/>
    <n v="0"/>
  </r>
  <r>
    <s v="202 PLAN RASHODA"/>
    <s v="238 ZNANOST I TEHNOLOŠKI RAZVOJ"/>
    <s v="23801 ULAGANJE U ZNANSTVENO ISTRAŽIVAČKU DJELATNOST"/>
    <x v="4"/>
    <x v="6"/>
    <n v="0"/>
    <n v="0"/>
    <n v="0"/>
    <x v="1"/>
    <n v="15359"/>
    <n v="19492.11"/>
    <n v="0"/>
  </r>
  <r>
    <s v="202 PLAN RASHODA"/>
    <s v="238 ZNANOST I TEHNOLOŠKI RAZVOJ"/>
    <s v="23801 ULAGANJE U ZNANSTVENO ISTRAŽIVAČKU DJELATNOST"/>
    <x v="4"/>
    <x v="7"/>
    <n v="2403"/>
    <n v="2116.54"/>
    <n v="0"/>
    <x v="1"/>
    <n v="403"/>
    <n v="403.86"/>
    <n v="0"/>
  </r>
  <r>
    <s v="202 PLAN RASHODA"/>
    <s v="238 ZNANOST I TEHNOLOŠKI RAZVOJ"/>
    <s v="23801 ULAGANJE U ZNANSTVENO ISTRAŽIVAČKU DJELATNOST"/>
    <x v="4"/>
    <x v="7"/>
    <n v="0"/>
    <n v="0"/>
    <n v="0"/>
    <x v="4"/>
    <n v="2000"/>
    <n v="1712.68"/>
    <n v="0"/>
  </r>
  <r>
    <s v="202 PLAN RASHODA"/>
    <s v="238 ZNANOST I TEHNOLOŠKI RAZVOJ"/>
    <s v="23801 ULAGANJE U ZNANSTVENO ISTRAŽIVAČKU DJELATNOST"/>
    <x v="4"/>
    <x v="23"/>
    <n v="0"/>
    <n v="18750"/>
    <n v="0"/>
    <x v="4"/>
    <n v="0"/>
    <n v="18750"/>
    <n v="0"/>
  </r>
  <r>
    <s v="202 PLAN RASHODA"/>
    <s v="238 ZNANOST I TEHNOLOŠKI RAZVOJ"/>
    <s v="23801 ULAGANJE U ZNANSTVENO ISTRAŽIVAČKU DJELATNOST"/>
    <x v="4"/>
    <x v="9"/>
    <n v="2548"/>
    <n v="2548"/>
    <n v="0"/>
    <x v="1"/>
    <n v="2548"/>
    <n v="2548"/>
    <n v="0"/>
  </r>
  <r>
    <s v="202 PLAN RASHODA"/>
    <s v="238 ZNANOST I TEHNOLOŠKI RAZVOJ"/>
    <s v="23801 ULAGANJE U ZNANSTVENO ISTRAŽIVAČKU DJELATNOST"/>
    <x v="4"/>
    <x v="10"/>
    <n v="20476"/>
    <n v="23564.49"/>
    <n v="0"/>
    <x v="1"/>
    <n v="7476"/>
    <n v="10686.68"/>
    <n v="0"/>
  </r>
  <r>
    <s v="202 PLAN RASHODA"/>
    <s v="238 ZNANOST I TEHNOLOŠKI RAZVOJ"/>
    <s v="23801 ULAGANJE U ZNANSTVENO ISTRAŽIVAČKU DJELATNOST"/>
    <x v="4"/>
    <x v="10"/>
    <n v="0"/>
    <n v="0"/>
    <n v="0"/>
    <x v="2"/>
    <n v="10000"/>
    <n v="10000"/>
    <n v="0"/>
  </r>
  <r>
    <s v="202 PLAN RASHODA"/>
    <s v="238 ZNANOST I TEHNOLOŠKI RAZVOJ"/>
    <s v="23801 ULAGANJE U ZNANSTVENO ISTRAŽIVAČKU DJELATNOST"/>
    <x v="4"/>
    <x v="10"/>
    <n v="0"/>
    <n v="0"/>
    <n v="0"/>
    <x v="4"/>
    <n v="3000"/>
    <n v="2877.81"/>
    <n v="0"/>
  </r>
  <r>
    <s v="202 PLAN RASHODA"/>
    <s v="238 ZNANOST I TEHNOLOŠKI RAZVOJ"/>
    <s v="23801 ULAGANJE U ZNANSTVENO ISTRAŽIVAČKU DJELATNOST"/>
    <x v="4"/>
    <x v="11"/>
    <n v="28412"/>
    <n v="9412.5"/>
    <n v="0"/>
    <x v="1"/>
    <n v="9412"/>
    <n v="9412.5"/>
    <n v="0"/>
  </r>
  <r>
    <s v="202 PLAN RASHODA"/>
    <s v="238 ZNANOST I TEHNOLOŠKI RAZVOJ"/>
    <s v="23801 ULAGANJE U ZNANSTVENO ISTRAŽIVAČKU DJELATNOST"/>
    <x v="4"/>
    <x v="11"/>
    <n v="0"/>
    <n v="0"/>
    <n v="0"/>
    <x v="4"/>
    <n v="19000"/>
    <n v="0"/>
    <n v="0"/>
  </r>
  <r>
    <s v="202 PLAN RASHODA"/>
    <s v="238 ZNANOST I TEHNOLOŠKI RAZVOJ"/>
    <s v="23801 ULAGANJE U ZNANSTVENO ISTRAŽIVAČKU DJELATNOST"/>
    <x v="4"/>
    <x v="27"/>
    <n v="0"/>
    <n v="190"/>
    <n v="0"/>
    <x v="4"/>
    <n v="0"/>
    <n v="190"/>
    <n v="0"/>
  </r>
  <r>
    <s v="202 PLAN RASHODA"/>
    <s v="238 ZNANOST I TEHNOLOŠKI RAZVOJ"/>
    <s v="23801 ULAGANJE U ZNANSTVENO ISTRAŽIVAČKU DJELATNOST"/>
    <x v="4"/>
    <x v="12"/>
    <n v="1500"/>
    <n v="255"/>
    <n v="0"/>
    <x v="4"/>
    <n v="1500"/>
    <n v="255"/>
    <n v="0"/>
  </r>
  <r>
    <s v="202 PLAN RASHODA"/>
    <s v="238 ZNANOST I TEHNOLOŠKI RAZVOJ"/>
    <s v="23801 ULAGANJE U ZNANSTVENO ISTRAŽIVAČKU DJELATNOST"/>
    <x v="4"/>
    <x v="28"/>
    <n v="1000"/>
    <n v="347.54"/>
    <n v="0"/>
    <x v="4"/>
    <n v="1000"/>
    <n v="347.54"/>
    <n v="0"/>
  </r>
  <r>
    <s v="202 PLAN RASHODA"/>
    <s v="238 ZNANOST I TEHNOLOŠKI RAZVOJ"/>
    <s v="23801 ULAGANJE U ZNANSTVENO ISTRAŽIVAČKU DJELATNOST"/>
    <x v="4"/>
    <x v="30"/>
    <n v="130"/>
    <n v="130"/>
    <n v="0"/>
    <x v="1"/>
    <n v="130"/>
    <n v="130"/>
    <n v="0"/>
  </r>
  <r>
    <s v="202 PLAN RASHODA"/>
    <s v="238 ZNANOST I TEHNOLOŠKI RAZVOJ"/>
    <s v="23801 ULAGANJE U ZNANSTVENO ISTRAŽIVAČKU DJELATNOST"/>
    <x v="4"/>
    <x v="14"/>
    <n v="0"/>
    <n v="4.1500000000000004"/>
    <n v="0"/>
    <x v="4"/>
    <n v="0"/>
    <n v="4.1500000000000004"/>
    <n v="0"/>
  </r>
  <r>
    <s v="202 PLAN RASHODA"/>
    <s v="238 ZNANOST I TEHNOLOŠKI RAZVOJ"/>
    <s v="23801 ULAGANJE U ZNANSTVENO ISTRAŽIVAČKU DJELATNOST"/>
    <x v="4"/>
    <x v="16"/>
    <n v="62121"/>
    <n v="118316.91"/>
    <n v="0"/>
    <x v="1"/>
    <n v="37121"/>
    <n v="79486.16"/>
    <n v="0"/>
  </r>
  <r>
    <s v="202 PLAN RASHODA"/>
    <s v="238 ZNANOST I TEHNOLOŠKI RAZVOJ"/>
    <s v="23801 ULAGANJE U ZNANSTVENO ISTRAŽIVAČKU DJELATNOST"/>
    <x v="4"/>
    <x v="16"/>
    <n v="0"/>
    <n v="0"/>
    <n v="0"/>
    <x v="4"/>
    <n v="25000"/>
    <n v="38830.75"/>
    <n v="0"/>
  </r>
  <r>
    <s v="202 PLAN RASHODA"/>
    <s v="238 ZNANOST I TEHNOLOŠKI RAZVOJ"/>
    <s v="23801 ULAGANJE U ZNANSTVENO ISTRAŽIVAČKU DJELATNOST"/>
    <x v="4"/>
    <x v="41"/>
    <n v="89209"/>
    <n v="0"/>
    <n v="0"/>
    <x v="1"/>
    <n v="89209"/>
    <n v="0"/>
    <n v="0"/>
  </r>
  <r>
    <s v="202 PLAN RASHODA"/>
    <s v="238 ZNANOST I TEHNOLOŠKI RAZVOJ"/>
    <s v="23801 ULAGANJE U ZNANSTVENO ISTRAŽIVAČKU DJELATNOST"/>
    <x v="4"/>
    <x v="43"/>
    <n v="1500"/>
    <n v="0"/>
    <n v="0"/>
    <x v="4"/>
    <n v="1500"/>
    <n v="0"/>
    <n v="0"/>
  </r>
  <r>
    <s v="202 PLAN RASHODA"/>
    <s v="238 ZNANOST I TEHNOLOŠKI RAZVOJ"/>
    <s v="23801 ULAGANJE U ZNANSTVENO ISTRAŽIVAČKU DJELATNOST"/>
    <x v="5"/>
    <x v="0"/>
    <n v="18000"/>
    <n v="17954.89"/>
    <n v="0"/>
    <x v="2"/>
    <n v="18000"/>
    <n v="14912.57"/>
    <n v="0"/>
  </r>
  <r>
    <s v="202 PLAN RASHODA"/>
    <s v="238 ZNANOST I TEHNOLOŠKI RAZVOJ"/>
    <s v="23801 ULAGANJE U ZNANSTVENO ISTRAŽIVAČKU DJELATNOST"/>
    <x v="5"/>
    <x v="0"/>
    <n v="0"/>
    <n v="0"/>
    <n v="0"/>
    <x v="3"/>
    <n v="0"/>
    <n v="3042.32"/>
    <n v="0"/>
  </r>
  <r>
    <s v="202 PLAN RASHODA"/>
    <s v="238 ZNANOST I TEHNOLOŠKI RAZVOJ"/>
    <s v="23801 ULAGANJE U ZNANSTVENO ISTRAŽIVAČKU DJELATNOST"/>
    <x v="5"/>
    <x v="2"/>
    <n v="2750"/>
    <n v="2783"/>
    <n v="0"/>
    <x v="2"/>
    <n v="2750"/>
    <n v="2783"/>
    <n v="0"/>
  </r>
  <r>
    <s v="202 PLAN RASHODA"/>
    <s v="238 ZNANOST I TEHNOLOŠKI RAZVOJ"/>
    <s v="23801 ULAGANJE U ZNANSTVENO ISTRAŽIVAČKU DJELATNOST"/>
    <x v="5"/>
    <x v="3"/>
    <n v="300"/>
    <n v="305.26"/>
    <n v="0"/>
    <x v="2"/>
    <n v="300"/>
    <n v="305.26"/>
    <n v="0"/>
  </r>
  <r>
    <s v="202 PLAN RASHODA"/>
    <s v="238 ZNANOST I TEHNOLOŠKI RAZVOJ"/>
    <s v="23801 ULAGANJE U ZNANSTVENO ISTRAŽIVAČKU DJELATNOST"/>
    <x v="5"/>
    <x v="10"/>
    <n v="14000"/>
    <n v="28312.21"/>
    <n v="0"/>
    <x v="2"/>
    <n v="3591"/>
    <n v="0"/>
    <n v="0"/>
  </r>
  <r>
    <s v="202 PLAN RASHODA"/>
    <s v="238 ZNANOST I TEHNOLOŠKI RAZVOJ"/>
    <s v="23801 ULAGANJE U ZNANSTVENO ISTRAŽIVAČKU DJELATNOST"/>
    <x v="5"/>
    <x v="10"/>
    <n v="0"/>
    <n v="0"/>
    <n v="0"/>
    <x v="3"/>
    <n v="10409"/>
    <n v="28312.21"/>
    <n v="0"/>
  </r>
  <r>
    <s v="202 PLAN RASHODA"/>
    <s v="238 ZNANOST I TEHNOLOŠKI RAZVOJ"/>
    <s v="23801 ULAGANJE U ZNANSTVENO ISTRAŽIVAČKU DJELATNOST"/>
    <x v="5"/>
    <x v="11"/>
    <n v="21000"/>
    <n v="21025"/>
    <n v="0"/>
    <x v="3"/>
    <n v="21000"/>
    <n v="0"/>
    <n v="0"/>
  </r>
  <r>
    <s v="202 PLAN RASHODA"/>
    <s v="238 ZNANOST I TEHNOLOŠKI RAZVOJ"/>
    <s v="23801 ULAGANJE U ZNANSTVENO ISTRAŽIVAČKU DJELATNOST"/>
    <x v="5"/>
    <x v="11"/>
    <n v="0"/>
    <n v="0"/>
    <n v="0"/>
    <x v="2"/>
    <n v="0"/>
    <n v="21025"/>
    <n v="0"/>
  </r>
  <r>
    <s v="202 PLAN RASHODA"/>
    <s v="238 ZNANOST I TEHNOLOŠKI RAZVOJ"/>
    <s v="23801 ULAGANJE U ZNANSTVENO ISTRAŽIVAČKU DJELATNOST"/>
    <x v="6"/>
    <x v="9"/>
    <n v="0"/>
    <n v="10900"/>
    <n v="0"/>
    <x v="2"/>
    <n v="0"/>
    <n v="10900"/>
    <n v="0"/>
  </r>
  <r>
    <s v="202 PLAN RASHODA"/>
    <s v="238 ZNANOST I TEHNOLOŠKI RAZVOJ"/>
    <s v="23801 ULAGANJE U ZNANSTVENO ISTRAŽIVAČKU DJELATNOST"/>
    <x v="6"/>
    <x v="10"/>
    <n v="0"/>
    <n v="785.81"/>
    <n v="0"/>
    <x v="2"/>
    <n v="0"/>
    <n v="785.81"/>
    <n v="0"/>
  </r>
  <r>
    <s v="202 PLAN RASHODA"/>
    <s v="238 ZNANOST I TEHNOLOŠKI RAZVOJ"/>
    <s v="23801 ULAGANJE U ZNANSTVENO ISTRAŽIVAČKU DJELATNOST"/>
    <x v="6"/>
    <x v="26"/>
    <n v="0"/>
    <n v="13999.11"/>
    <n v="0"/>
    <x v="2"/>
    <n v="0"/>
    <n v="13999.11"/>
    <n v="0"/>
  </r>
  <r>
    <s v="202 PLAN RASHODA"/>
    <s v="238 ZNANOST I TEHNOLOŠKI RAZVOJ"/>
    <s v="23801 ULAGANJE U ZNANSTVENO ISTRAŽIVAČKU DJELATNOST"/>
    <x v="6"/>
    <x v="12"/>
    <n v="0"/>
    <n v="127746.4"/>
    <n v="0"/>
    <x v="2"/>
    <n v="0"/>
    <n v="127746.4"/>
    <n v="0"/>
  </r>
  <r>
    <s v="202 PLAN RASHODA"/>
    <s v="238 ZNANOST I TEHNOLOŠKI RAZVOJ"/>
    <s v="23801 ULAGANJE U ZNANSTVENO ISTRAŽIVAČKU DJELATNOST"/>
    <x v="6"/>
    <x v="14"/>
    <n v="0"/>
    <n v="5.39"/>
    <n v="0"/>
    <x v="2"/>
    <n v="0"/>
    <n v="5.39"/>
    <n v="0"/>
  </r>
  <r>
    <s v="202 PLAN RASHODA"/>
    <s v="238 ZNANOST I TEHNOLOŠKI RAZVOJ"/>
    <s v="23801 ULAGANJE U ZNANSTVENO ISTRAŽIVAČKU DJELATNOST"/>
    <x v="6"/>
    <x v="34"/>
    <n v="0"/>
    <n v="50000"/>
    <n v="0"/>
    <x v="2"/>
    <n v="0"/>
    <n v="50000"/>
    <n v="0"/>
  </r>
  <r>
    <s v="202 PLAN RASHODA"/>
    <s v="238 ZNANOST I TEHNOLOŠKI RAZVOJ"/>
    <s v="23801 ULAGANJE U ZNANSTVENO ISTRAŽIVAČKU DJELATNOST"/>
    <x v="7"/>
    <x v="0"/>
    <n v="6500"/>
    <n v="0"/>
    <n v="0"/>
    <x v="3"/>
    <n v="6500"/>
    <n v="0"/>
    <n v="0"/>
  </r>
  <r>
    <s v="202 PLAN RASHODA"/>
    <s v="238 ZNANOST I TEHNOLOŠKI RAZVOJ"/>
    <s v="23801 ULAGANJE U ZNANSTVENO ISTRAŽIVAČKU DJELATNOST"/>
    <x v="7"/>
    <x v="2"/>
    <n v="1000"/>
    <n v="0"/>
    <n v="0"/>
    <x v="3"/>
    <n v="1000"/>
    <n v="0"/>
    <n v="0"/>
  </r>
  <r>
    <s v="202 PLAN RASHODA"/>
    <s v="238 ZNANOST I TEHNOLOŠKI RAZVOJ"/>
    <s v="23801 ULAGANJE U ZNANSTVENO ISTRAŽIVAČKU DJELATNOST"/>
    <x v="7"/>
    <x v="10"/>
    <n v="17500"/>
    <n v="15683.73"/>
    <n v="0"/>
    <x v="3"/>
    <n v="17500"/>
    <n v="15683.73"/>
    <n v="0"/>
  </r>
  <r>
    <s v="202 PLAN RASHODA"/>
    <s v="238 ZNANOST I TEHNOLOŠKI RAZVOJ"/>
    <s v="23801 ULAGANJE U ZNANSTVENO ISTRAŽIVAČKU DJELATNOST"/>
    <x v="7"/>
    <x v="11"/>
    <n v="11000"/>
    <n v="5425.88"/>
    <n v="0"/>
    <x v="3"/>
    <n v="11000"/>
    <n v="5425.88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FINANCIJSKI PLAN 2017." updatedVersion="3" minRefreshableVersion="3" showCalcMbrs="0" useAutoFormatting="1" itemPrintTitles="1" createdVersion="3" indent="0" outline="1" outlineData="1" multipleFieldFilters="0">
  <location ref="A3:C50" firstHeaderRow="1" firstDataRow="2" firstDataCol="1"/>
  <pivotFields count="12">
    <pivotField showAll="0"/>
    <pivotField showAll="0"/>
    <pivotField showAll="0"/>
    <pivotField showAll="0">
      <items count="9">
        <item x="1"/>
        <item x="2"/>
        <item x="4"/>
        <item x="5"/>
        <item x="6"/>
        <item x="7"/>
        <item x="3"/>
        <item x="0"/>
        <item t="default"/>
      </items>
    </pivotField>
    <pivotField axis="axisRow" showAll="0">
      <items count="46">
        <item x="0"/>
        <item x="1"/>
        <item x="2"/>
        <item x="3"/>
        <item x="4"/>
        <item x="5"/>
        <item x="6"/>
        <item x="7"/>
        <item x="18"/>
        <item x="19"/>
        <item x="20"/>
        <item x="21"/>
        <item x="8"/>
        <item x="22"/>
        <item x="23"/>
        <item x="24"/>
        <item x="9"/>
        <item x="17"/>
        <item x="10"/>
        <item x="25"/>
        <item x="11"/>
        <item x="26"/>
        <item x="27"/>
        <item x="12"/>
        <item x="28"/>
        <item x="13"/>
        <item x="29"/>
        <item x="30"/>
        <item x="14"/>
        <item x="31"/>
        <item x="32"/>
        <item x="15"/>
        <item x="33"/>
        <item x="34"/>
        <item x="35"/>
        <item x="36"/>
        <item x="16"/>
        <item x="37"/>
        <item x="38"/>
        <item x="39"/>
        <item x="40"/>
        <item x="41"/>
        <item x="42"/>
        <item x="43"/>
        <item x="44"/>
        <item t="default"/>
      </items>
    </pivotField>
    <pivotField numFmtId="4" showAll="0"/>
    <pivotField numFmtId="4" showAll="0"/>
    <pivotField numFmtId="4" showAll="0"/>
    <pivotField showAll="0">
      <items count="8">
        <item x="5"/>
        <item x="1"/>
        <item x="3"/>
        <item x="4"/>
        <item x="0"/>
        <item x="6"/>
        <item x="2"/>
        <item t="default"/>
      </items>
    </pivotField>
    <pivotField dataField="1" numFmtId="4" showAll="0"/>
    <pivotField dataField="1" numFmtId="4" showAll="0"/>
    <pivotField numFmtId="4" showAll="0"/>
  </pivotFields>
  <rowFields count="1">
    <field x="4"/>
  </rowFields>
  <rowItems count="4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Planirani iznos2" fld="9" baseField="0" baseItem="0"/>
    <dataField name="Sum of Realizirani iznos2" fld="10" baseField="0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3"/>
  <sheetViews>
    <sheetView workbookViewId="0">
      <selection activeCell="E30" sqref="E30"/>
    </sheetView>
  </sheetViews>
  <sheetFormatPr defaultColWidth="16.85546875" defaultRowHeight="15"/>
  <cols>
    <col min="1" max="1" width="16.85546875" style="4"/>
    <col min="3" max="3" width="16.85546875" style="8"/>
    <col min="4" max="4" width="16.85546875" style="5"/>
    <col min="6" max="8" width="16.85546875" style="11"/>
    <col min="10" max="12" width="16.85546875" style="11"/>
  </cols>
  <sheetData>
    <row r="1" spans="1:12">
      <c r="A1" s="197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</row>
    <row r="2" spans="1:12">
      <c r="A2" s="6"/>
      <c r="B2" s="2"/>
      <c r="C2" s="6"/>
      <c r="D2" s="3"/>
      <c r="E2" s="7"/>
      <c r="F2" s="10"/>
      <c r="G2" s="10"/>
    </row>
    <row r="3" spans="1:12">
      <c r="A3" s="12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10" t="s">
        <v>6</v>
      </c>
      <c r="G3" s="10" t="s">
        <v>7</v>
      </c>
      <c r="H3" s="10" t="s">
        <v>8</v>
      </c>
      <c r="I3" s="13" t="s">
        <v>9</v>
      </c>
      <c r="J3" s="10" t="s">
        <v>10</v>
      </c>
      <c r="K3" s="10" t="s">
        <v>11</v>
      </c>
      <c r="L3" s="10" t="s">
        <v>12</v>
      </c>
    </row>
    <row r="4" spans="1:12">
      <c r="A4" t="s">
        <v>13</v>
      </c>
      <c r="B4" t="s">
        <v>14</v>
      </c>
      <c r="C4" t="s">
        <v>15</v>
      </c>
      <c r="D4" t="s">
        <v>16</v>
      </c>
      <c r="E4" t="s">
        <v>17</v>
      </c>
      <c r="F4" s="14">
        <v>395000</v>
      </c>
      <c r="G4" s="14">
        <v>653178.09</v>
      </c>
      <c r="H4" s="14">
        <v>0</v>
      </c>
      <c r="I4" t="s">
        <v>18</v>
      </c>
      <c r="J4" s="14">
        <v>88000</v>
      </c>
      <c r="K4" s="14">
        <v>175381.91</v>
      </c>
      <c r="L4" s="14">
        <v>0</v>
      </c>
    </row>
    <row r="5" spans="1:12">
      <c r="A5" t="s">
        <v>19</v>
      </c>
      <c r="B5" t="s">
        <v>20</v>
      </c>
      <c r="C5" t="s">
        <v>21</v>
      </c>
      <c r="D5" t="s">
        <v>22</v>
      </c>
      <c r="E5" t="s">
        <v>23</v>
      </c>
      <c r="F5" s="14">
        <v>0</v>
      </c>
      <c r="G5" s="14">
        <v>0</v>
      </c>
      <c r="H5" s="14">
        <v>0</v>
      </c>
      <c r="I5" t="s">
        <v>24</v>
      </c>
      <c r="J5" s="14">
        <v>0</v>
      </c>
      <c r="K5" s="14">
        <v>100929.11</v>
      </c>
      <c r="L5" s="14">
        <v>0</v>
      </c>
    </row>
    <row r="6" spans="1:12">
      <c r="A6" t="s">
        <v>25</v>
      </c>
      <c r="B6" t="s">
        <v>26</v>
      </c>
      <c r="C6" t="s">
        <v>27</v>
      </c>
      <c r="D6" t="s">
        <v>28</v>
      </c>
      <c r="E6" t="s">
        <v>29</v>
      </c>
      <c r="F6" s="14">
        <v>0</v>
      </c>
      <c r="G6" s="14">
        <v>0</v>
      </c>
      <c r="H6" s="14">
        <v>0</v>
      </c>
      <c r="I6" t="s">
        <v>30</v>
      </c>
      <c r="J6" s="14">
        <v>307000</v>
      </c>
      <c r="K6" s="14">
        <v>376867.07</v>
      </c>
      <c r="L6" s="14">
        <v>0</v>
      </c>
    </row>
    <row r="7" spans="1:12">
      <c r="A7" t="s">
        <v>31</v>
      </c>
      <c r="B7" t="s">
        <v>32</v>
      </c>
      <c r="C7" t="s">
        <v>33</v>
      </c>
      <c r="D7" t="s">
        <v>34</v>
      </c>
      <c r="E7" t="s">
        <v>35</v>
      </c>
      <c r="F7" s="14">
        <v>2500</v>
      </c>
      <c r="G7" s="14">
        <v>2500</v>
      </c>
      <c r="H7" s="14">
        <v>0</v>
      </c>
      <c r="I7" t="s">
        <v>36</v>
      </c>
      <c r="J7" s="14">
        <v>2500</v>
      </c>
      <c r="K7" s="14">
        <v>2500</v>
      </c>
      <c r="L7" s="14">
        <v>0</v>
      </c>
    </row>
    <row r="8" spans="1:12">
      <c r="A8" t="s">
        <v>37</v>
      </c>
      <c r="B8" t="s">
        <v>38</v>
      </c>
      <c r="C8" t="s">
        <v>39</v>
      </c>
      <c r="D8" t="s">
        <v>40</v>
      </c>
      <c r="E8" t="s">
        <v>41</v>
      </c>
      <c r="F8" s="14">
        <v>73600</v>
      </c>
      <c r="G8" s="14">
        <v>101242.6</v>
      </c>
      <c r="H8" s="14">
        <v>0</v>
      </c>
      <c r="I8" t="s">
        <v>42</v>
      </c>
      <c r="J8" s="14">
        <v>60000</v>
      </c>
      <c r="K8" s="14">
        <v>58414.41</v>
      </c>
      <c r="L8" s="14">
        <v>0</v>
      </c>
    </row>
    <row r="9" spans="1:12">
      <c r="A9" t="s">
        <v>43</v>
      </c>
      <c r="B9" t="s">
        <v>44</v>
      </c>
      <c r="C9" t="s">
        <v>45</v>
      </c>
      <c r="D9" t="s">
        <v>46</v>
      </c>
      <c r="E9" t="s">
        <v>47</v>
      </c>
      <c r="F9" s="14">
        <v>0</v>
      </c>
      <c r="G9" s="14">
        <v>0</v>
      </c>
      <c r="H9" s="14">
        <v>0</v>
      </c>
      <c r="I9" t="s">
        <v>48</v>
      </c>
      <c r="J9" s="14">
        <v>13600</v>
      </c>
      <c r="K9" s="14">
        <v>27184.19</v>
      </c>
      <c r="L9" s="14">
        <v>0</v>
      </c>
    </row>
    <row r="10" spans="1:12">
      <c r="A10" t="s">
        <v>49</v>
      </c>
      <c r="B10" t="s">
        <v>50</v>
      </c>
      <c r="C10" t="s">
        <v>51</v>
      </c>
      <c r="D10" t="s">
        <v>52</v>
      </c>
      <c r="E10" t="s">
        <v>53</v>
      </c>
      <c r="F10" s="14">
        <v>0</v>
      </c>
      <c r="G10" s="14">
        <v>0</v>
      </c>
      <c r="H10" s="14">
        <v>0</v>
      </c>
      <c r="I10" t="s">
        <v>54</v>
      </c>
      <c r="J10" s="14">
        <v>0</v>
      </c>
      <c r="K10" s="14">
        <v>15644</v>
      </c>
      <c r="L10" s="14">
        <v>0</v>
      </c>
    </row>
    <row r="11" spans="1:12">
      <c r="A11" t="s">
        <v>55</v>
      </c>
      <c r="B11" t="s">
        <v>56</v>
      </c>
      <c r="C11" t="s">
        <v>57</v>
      </c>
      <c r="D11" t="s">
        <v>58</v>
      </c>
      <c r="E11" t="s">
        <v>59</v>
      </c>
      <c r="F11" s="14">
        <v>7700</v>
      </c>
      <c r="G11" s="14">
        <v>11104.04</v>
      </c>
      <c r="H11" s="14">
        <v>0</v>
      </c>
      <c r="I11" t="s">
        <v>60</v>
      </c>
      <c r="J11" s="14">
        <v>0</v>
      </c>
      <c r="K11" s="14">
        <v>1715.79</v>
      </c>
      <c r="L11" s="14">
        <v>0</v>
      </c>
    </row>
    <row r="12" spans="1:12">
      <c r="A12" t="s">
        <v>61</v>
      </c>
      <c r="B12" t="s">
        <v>62</v>
      </c>
      <c r="C12" t="s">
        <v>63</v>
      </c>
      <c r="D12" t="s">
        <v>64</v>
      </c>
      <c r="E12" t="s">
        <v>65</v>
      </c>
      <c r="F12" s="14">
        <v>0</v>
      </c>
      <c r="G12" s="14">
        <v>0</v>
      </c>
      <c r="H12" s="14">
        <v>0</v>
      </c>
      <c r="I12" t="s">
        <v>66</v>
      </c>
      <c r="J12" s="14">
        <v>1500</v>
      </c>
      <c r="K12" s="14">
        <v>2981.5</v>
      </c>
      <c r="L12" s="14">
        <v>0</v>
      </c>
    </row>
    <row r="13" spans="1:12">
      <c r="A13" t="s">
        <v>67</v>
      </c>
      <c r="B13" t="s">
        <v>68</v>
      </c>
      <c r="C13" t="s">
        <v>69</v>
      </c>
      <c r="D13" t="s">
        <v>70</v>
      </c>
      <c r="E13" t="s">
        <v>71</v>
      </c>
      <c r="F13" s="14">
        <v>0</v>
      </c>
      <c r="G13" s="14">
        <v>0</v>
      </c>
      <c r="H13" s="14">
        <v>0</v>
      </c>
      <c r="I13" t="s">
        <v>72</v>
      </c>
      <c r="J13" s="14">
        <v>6200</v>
      </c>
      <c r="K13" s="14">
        <v>6406.75</v>
      </c>
      <c r="L13" s="14">
        <v>0</v>
      </c>
    </row>
    <row r="14" spans="1:12">
      <c r="A14" t="s">
        <v>73</v>
      </c>
      <c r="B14" t="s">
        <v>74</v>
      </c>
      <c r="C14" t="s">
        <v>75</v>
      </c>
      <c r="D14" t="s">
        <v>76</v>
      </c>
      <c r="E14" t="s">
        <v>77</v>
      </c>
      <c r="F14" s="14">
        <v>40200</v>
      </c>
      <c r="G14" s="14">
        <v>59643.65</v>
      </c>
      <c r="H14" s="14">
        <v>0</v>
      </c>
      <c r="I14" t="s">
        <v>78</v>
      </c>
      <c r="J14" s="14">
        <v>30000</v>
      </c>
      <c r="K14" s="14">
        <v>51884.76</v>
      </c>
      <c r="L14" s="14">
        <v>0</v>
      </c>
    </row>
    <row r="15" spans="1:12">
      <c r="A15" t="s">
        <v>79</v>
      </c>
      <c r="B15" t="s">
        <v>80</v>
      </c>
      <c r="C15" t="s">
        <v>81</v>
      </c>
      <c r="D15" t="s">
        <v>82</v>
      </c>
      <c r="E15" t="s">
        <v>83</v>
      </c>
      <c r="F15" s="14">
        <v>0</v>
      </c>
      <c r="G15" s="14">
        <v>0</v>
      </c>
      <c r="H15" s="14">
        <v>0</v>
      </c>
      <c r="I15" t="s">
        <v>84</v>
      </c>
      <c r="J15" s="14">
        <v>10200</v>
      </c>
      <c r="K15" s="14">
        <v>7758.89</v>
      </c>
      <c r="L15" s="14">
        <v>0</v>
      </c>
    </row>
    <row r="16" spans="1:12">
      <c r="A16" t="s">
        <v>85</v>
      </c>
      <c r="B16" t="s">
        <v>86</v>
      </c>
      <c r="C16" t="s">
        <v>87</v>
      </c>
      <c r="D16" t="s">
        <v>88</v>
      </c>
      <c r="E16" t="s">
        <v>89</v>
      </c>
      <c r="F16" s="14">
        <v>2500</v>
      </c>
      <c r="G16" s="14">
        <v>2511.63</v>
      </c>
      <c r="H16" s="14">
        <v>0</v>
      </c>
      <c r="I16" t="s">
        <v>90</v>
      </c>
      <c r="J16" s="14">
        <v>2500</v>
      </c>
      <c r="K16" s="14">
        <v>2511.63</v>
      </c>
      <c r="L16" s="14">
        <v>0</v>
      </c>
    </row>
    <row r="17" spans="1:12">
      <c r="A17" t="s">
        <v>91</v>
      </c>
      <c r="B17" t="s">
        <v>92</v>
      </c>
      <c r="C17" t="s">
        <v>93</v>
      </c>
      <c r="D17" t="s">
        <v>94</v>
      </c>
      <c r="E17" t="s">
        <v>95</v>
      </c>
      <c r="F17" s="14">
        <v>1900</v>
      </c>
      <c r="G17" s="14">
        <v>0</v>
      </c>
      <c r="H17" s="14">
        <v>0</v>
      </c>
      <c r="I17" t="s">
        <v>96</v>
      </c>
      <c r="J17" s="14">
        <v>1900</v>
      </c>
      <c r="K17" s="14">
        <v>0</v>
      </c>
      <c r="L17" s="14">
        <v>0</v>
      </c>
    </row>
    <row r="18" spans="1:12">
      <c r="A18" t="s">
        <v>97</v>
      </c>
      <c r="B18" t="s">
        <v>98</v>
      </c>
      <c r="C18" t="s">
        <v>99</v>
      </c>
      <c r="D18" t="s">
        <v>100</v>
      </c>
      <c r="E18" t="s">
        <v>101</v>
      </c>
      <c r="F18" s="14">
        <v>500</v>
      </c>
      <c r="G18" s="14">
        <v>250</v>
      </c>
      <c r="H18" s="14">
        <v>0</v>
      </c>
      <c r="I18" t="s">
        <v>102</v>
      </c>
      <c r="J18" s="14">
        <v>500</v>
      </c>
      <c r="K18" s="14">
        <v>0</v>
      </c>
      <c r="L18" s="14">
        <v>0</v>
      </c>
    </row>
    <row r="19" spans="1:12">
      <c r="A19" t="s">
        <v>103</v>
      </c>
      <c r="B19" t="s">
        <v>104</v>
      </c>
      <c r="C19" t="s">
        <v>105</v>
      </c>
      <c r="D19" t="s">
        <v>106</v>
      </c>
      <c r="E19" t="s">
        <v>107</v>
      </c>
      <c r="F19" s="14">
        <v>0</v>
      </c>
      <c r="G19" s="14">
        <v>0</v>
      </c>
      <c r="H19" s="14">
        <v>0</v>
      </c>
      <c r="I19" t="s">
        <v>108</v>
      </c>
      <c r="J19" s="14">
        <v>0</v>
      </c>
      <c r="K19" s="14">
        <v>250</v>
      </c>
      <c r="L19" s="14">
        <v>0</v>
      </c>
    </row>
    <row r="20" spans="1:12">
      <c r="A20" t="s">
        <v>109</v>
      </c>
      <c r="B20" t="s">
        <v>110</v>
      </c>
      <c r="C20" t="s">
        <v>111</v>
      </c>
      <c r="D20" t="s">
        <v>112</v>
      </c>
      <c r="E20" t="s">
        <v>113</v>
      </c>
      <c r="F20" s="14">
        <v>1000</v>
      </c>
      <c r="G20" s="14">
        <v>675.85</v>
      </c>
      <c r="H20" s="14">
        <v>0</v>
      </c>
      <c r="I20" t="s">
        <v>114</v>
      </c>
      <c r="J20" s="14">
        <v>1000</v>
      </c>
      <c r="K20" s="14">
        <v>675.85</v>
      </c>
      <c r="L20" s="14">
        <v>0</v>
      </c>
    </row>
    <row r="21" spans="1:12">
      <c r="A21" t="s">
        <v>115</v>
      </c>
      <c r="B21" t="s">
        <v>116</v>
      </c>
      <c r="C21" t="s">
        <v>117</v>
      </c>
      <c r="D21" t="s">
        <v>118</v>
      </c>
      <c r="E21" t="s">
        <v>119</v>
      </c>
      <c r="F21" s="14">
        <v>4300</v>
      </c>
      <c r="G21" s="14">
        <v>0</v>
      </c>
      <c r="H21" s="14">
        <v>0</v>
      </c>
      <c r="I21" t="s">
        <v>120</v>
      </c>
      <c r="J21" s="14">
        <v>4300</v>
      </c>
      <c r="K21" s="14">
        <v>0</v>
      </c>
      <c r="L21" s="14">
        <v>0</v>
      </c>
    </row>
    <row r="22" spans="1:12">
      <c r="A22" t="s">
        <v>121</v>
      </c>
      <c r="B22" t="s">
        <v>122</v>
      </c>
      <c r="C22" t="s">
        <v>123</v>
      </c>
      <c r="D22" t="s">
        <v>124</v>
      </c>
      <c r="E22" t="s">
        <v>125</v>
      </c>
      <c r="F22" s="14">
        <v>6000</v>
      </c>
      <c r="G22" s="14">
        <v>3850</v>
      </c>
      <c r="H22" s="14">
        <v>0</v>
      </c>
      <c r="I22" t="s">
        <v>126</v>
      </c>
      <c r="J22" s="14">
        <v>4000</v>
      </c>
      <c r="K22" s="14">
        <v>3850</v>
      </c>
      <c r="L22" s="14">
        <v>0</v>
      </c>
    </row>
    <row r="23" spans="1:12">
      <c r="A23" t="s">
        <v>127</v>
      </c>
      <c r="B23" t="s">
        <v>128</v>
      </c>
      <c r="C23" t="s">
        <v>129</v>
      </c>
      <c r="D23" t="s">
        <v>130</v>
      </c>
      <c r="E23" t="s">
        <v>131</v>
      </c>
      <c r="F23" s="14">
        <v>0</v>
      </c>
      <c r="G23" s="14">
        <v>0</v>
      </c>
      <c r="H23" s="14">
        <v>0</v>
      </c>
      <c r="I23" t="s">
        <v>132</v>
      </c>
      <c r="J23" s="14">
        <v>2000</v>
      </c>
      <c r="K23" s="14">
        <v>0</v>
      </c>
      <c r="L23" s="14">
        <v>0</v>
      </c>
    </row>
    <row r="24" spans="1:12">
      <c r="A24" t="s">
        <v>133</v>
      </c>
      <c r="B24" t="s">
        <v>134</v>
      </c>
      <c r="C24" t="s">
        <v>135</v>
      </c>
      <c r="D24" t="s">
        <v>136</v>
      </c>
      <c r="E24" t="s">
        <v>137</v>
      </c>
      <c r="F24" s="14">
        <v>1000</v>
      </c>
      <c r="G24" s="14">
        <v>562.5</v>
      </c>
      <c r="H24" s="14">
        <v>0</v>
      </c>
      <c r="I24" t="s">
        <v>138</v>
      </c>
      <c r="J24" s="14">
        <v>1000</v>
      </c>
      <c r="K24" s="14">
        <v>562.5</v>
      </c>
      <c r="L24" s="14">
        <v>0</v>
      </c>
    </row>
    <row r="25" spans="1:12">
      <c r="A25" t="s">
        <v>139</v>
      </c>
      <c r="B25" t="s">
        <v>140</v>
      </c>
      <c r="C25" t="s">
        <v>141</v>
      </c>
      <c r="D25" t="s">
        <v>142</v>
      </c>
      <c r="E25" t="s">
        <v>143</v>
      </c>
      <c r="F25" s="14">
        <v>12600</v>
      </c>
      <c r="G25" s="14">
        <v>9286.5</v>
      </c>
      <c r="H25" s="14">
        <v>0</v>
      </c>
      <c r="I25" t="s">
        <v>144</v>
      </c>
      <c r="J25" s="14">
        <v>5400</v>
      </c>
      <c r="K25" s="14">
        <v>5309</v>
      </c>
      <c r="L25" s="14">
        <v>0</v>
      </c>
    </row>
    <row r="26" spans="1:12">
      <c r="A26" t="s">
        <v>145</v>
      </c>
      <c r="B26" t="s">
        <v>146</v>
      </c>
      <c r="C26" t="s">
        <v>147</v>
      </c>
      <c r="D26" t="s">
        <v>148</v>
      </c>
      <c r="E26" t="s">
        <v>149</v>
      </c>
      <c r="F26" s="14">
        <v>0</v>
      </c>
      <c r="G26" s="14">
        <v>0</v>
      </c>
      <c r="H26" s="14">
        <v>0</v>
      </c>
      <c r="I26" t="s">
        <v>150</v>
      </c>
      <c r="J26" s="14">
        <v>7200</v>
      </c>
      <c r="K26" s="14">
        <v>3977.5</v>
      </c>
      <c r="L26" s="14">
        <v>0</v>
      </c>
    </row>
    <row r="27" spans="1:12">
      <c r="A27" t="s">
        <v>151</v>
      </c>
      <c r="B27" t="s">
        <v>152</v>
      </c>
      <c r="C27" t="s">
        <v>153</v>
      </c>
      <c r="D27" t="s">
        <v>154</v>
      </c>
      <c r="E27" t="s">
        <v>155</v>
      </c>
      <c r="F27" s="14">
        <v>100</v>
      </c>
      <c r="G27" s="14">
        <v>50</v>
      </c>
      <c r="H27" s="14">
        <v>0</v>
      </c>
      <c r="I27" t="s">
        <v>156</v>
      </c>
      <c r="J27" s="14">
        <v>0</v>
      </c>
      <c r="K27" s="14">
        <v>50</v>
      </c>
      <c r="L27" s="14">
        <v>0</v>
      </c>
    </row>
    <row r="28" spans="1:12">
      <c r="A28" t="s">
        <v>157</v>
      </c>
      <c r="B28" t="s">
        <v>158</v>
      </c>
      <c r="C28" t="s">
        <v>159</v>
      </c>
      <c r="D28" t="s">
        <v>160</v>
      </c>
      <c r="E28" t="s">
        <v>161</v>
      </c>
      <c r="F28" s="14">
        <v>0</v>
      </c>
      <c r="G28" s="14">
        <v>0</v>
      </c>
      <c r="H28" s="14">
        <v>0</v>
      </c>
      <c r="I28" t="s">
        <v>162</v>
      </c>
      <c r="J28" s="14">
        <v>100</v>
      </c>
      <c r="K28" s="14">
        <v>0</v>
      </c>
      <c r="L28" s="14">
        <v>0</v>
      </c>
    </row>
    <row r="29" spans="1:12">
      <c r="A29" t="s">
        <v>163</v>
      </c>
      <c r="B29" t="s">
        <v>164</v>
      </c>
      <c r="C29" t="s">
        <v>165</v>
      </c>
      <c r="D29" t="s">
        <v>166</v>
      </c>
      <c r="E29" t="s">
        <v>167</v>
      </c>
      <c r="F29" s="14">
        <v>0</v>
      </c>
      <c r="G29" s="14">
        <v>15.57</v>
      </c>
      <c r="H29" s="14">
        <v>0</v>
      </c>
      <c r="I29" t="s">
        <v>168</v>
      </c>
      <c r="J29" s="14">
        <v>0</v>
      </c>
      <c r="K29" s="14">
        <v>15.57</v>
      </c>
      <c r="L29" s="14">
        <v>0</v>
      </c>
    </row>
    <row r="30" spans="1:12">
      <c r="A30" t="s">
        <v>169</v>
      </c>
      <c r="B30" t="s">
        <v>170</v>
      </c>
      <c r="C30" t="s">
        <v>171</v>
      </c>
      <c r="D30" t="s">
        <v>172</v>
      </c>
      <c r="E30" t="s">
        <v>173</v>
      </c>
      <c r="F30" s="14">
        <v>11400</v>
      </c>
      <c r="G30" s="14">
        <v>0</v>
      </c>
      <c r="H30" s="14">
        <v>0</v>
      </c>
      <c r="I30" t="s">
        <v>174</v>
      </c>
      <c r="J30" s="14">
        <v>11400</v>
      </c>
      <c r="K30" s="14">
        <v>0</v>
      </c>
      <c r="L30" s="14">
        <v>0</v>
      </c>
    </row>
    <row r="31" spans="1:12">
      <c r="A31" t="s">
        <v>175</v>
      </c>
      <c r="B31" t="s">
        <v>176</v>
      </c>
      <c r="C31" t="s">
        <v>177</v>
      </c>
      <c r="D31" t="s">
        <v>178</v>
      </c>
      <c r="E31" t="s">
        <v>179</v>
      </c>
      <c r="F31" s="14">
        <v>27000</v>
      </c>
      <c r="G31" s="14">
        <v>26098</v>
      </c>
      <c r="H31" s="14">
        <v>0</v>
      </c>
      <c r="I31" t="s">
        <v>180</v>
      </c>
      <c r="J31" s="14">
        <v>27000</v>
      </c>
      <c r="K31" s="14">
        <v>26098</v>
      </c>
      <c r="L31" s="14">
        <v>0</v>
      </c>
    </row>
    <row r="32" spans="1:12">
      <c r="A32" t="s">
        <v>181</v>
      </c>
      <c r="B32" t="s">
        <v>182</v>
      </c>
      <c r="C32" t="s">
        <v>183</v>
      </c>
      <c r="D32" t="s">
        <v>184</v>
      </c>
      <c r="E32" t="s">
        <v>185</v>
      </c>
      <c r="F32" s="14">
        <v>15323000</v>
      </c>
      <c r="G32" s="14">
        <v>15217683.58</v>
      </c>
      <c r="H32" s="14">
        <v>0</v>
      </c>
      <c r="I32" t="s">
        <v>186</v>
      </c>
      <c r="J32" s="14">
        <v>15323000</v>
      </c>
      <c r="K32" s="14">
        <v>15217683.58</v>
      </c>
      <c r="L32" s="14">
        <v>0</v>
      </c>
    </row>
    <row r="33" spans="1:12">
      <c r="A33" t="s">
        <v>187</v>
      </c>
      <c r="B33" t="s">
        <v>188</v>
      </c>
      <c r="C33" t="s">
        <v>189</v>
      </c>
      <c r="D33" t="s">
        <v>190</v>
      </c>
      <c r="E33" t="s">
        <v>191</v>
      </c>
      <c r="F33" s="14">
        <v>409210</v>
      </c>
      <c r="G33" s="14">
        <v>408384.63</v>
      </c>
      <c r="H33" s="14">
        <v>0</v>
      </c>
      <c r="I33" t="s">
        <v>192</v>
      </c>
      <c r="J33" s="14">
        <v>409210</v>
      </c>
      <c r="K33" s="14">
        <v>408384.63</v>
      </c>
      <c r="L33" s="14">
        <v>0</v>
      </c>
    </row>
    <row r="34" spans="1:12">
      <c r="A34" t="s">
        <v>193</v>
      </c>
      <c r="B34" t="s">
        <v>194</v>
      </c>
      <c r="C34" t="s">
        <v>195</v>
      </c>
      <c r="D34" t="s">
        <v>196</v>
      </c>
      <c r="E34" t="s">
        <v>197</v>
      </c>
      <c r="F34" s="14">
        <v>2360000</v>
      </c>
      <c r="G34" s="14">
        <v>2358428.75</v>
      </c>
      <c r="H34" s="14">
        <v>0</v>
      </c>
      <c r="I34" t="s">
        <v>198</v>
      </c>
      <c r="J34" s="14">
        <v>2360000</v>
      </c>
      <c r="K34" s="14">
        <v>2358428.75</v>
      </c>
      <c r="L34" s="14">
        <v>0</v>
      </c>
    </row>
    <row r="35" spans="1:12">
      <c r="A35" t="s">
        <v>199</v>
      </c>
      <c r="B35" t="s">
        <v>200</v>
      </c>
      <c r="C35" t="s">
        <v>201</v>
      </c>
      <c r="D35" t="s">
        <v>202</v>
      </c>
      <c r="E35" t="s">
        <v>203</v>
      </c>
      <c r="F35" s="14">
        <v>256000</v>
      </c>
      <c r="G35" s="14">
        <v>258625.02</v>
      </c>
      <c r="H35" s="14">
        <v>0</v>
      </c>
      <c r="I35" t="s">
        <v>204</v>
      </c>
      <c r="J35" s="14">
        <v>256000</v>
      </c>
      <c r="K35" s="14">
        <v>258625.02</v>
      </c>
      <c r="L35" s="14">
        <v>0</v>
      </c>
    </row>
    <row r="36" spans="1:12">
      <c r="A36" t="s">
        <v>205</v>
      </c>
      <c r="B36" t="s">
        <v>206</v>
      </c>
      <c r="C36" t="s">
        <v>207</v>
      </c>
      <c r="D36" t="s">
        <v>208</v>
      </c>
      <c r="E36" t="s">
        <v>209</v>
      </c>
      <c r="F36" s="14">
        <v>327853</v>
      </c>
      <c r="G36" s="14">
        <v>328699.65999999997</v>
      </c>
      <c r="H36" s="14">
        <v>0</v>
      </c>
      <c r="I36" t="s">
        <v>210</v>
      </c>
      <c r="J36" s="14">
        <v>327853</v>
      </c>
      <c r="K36" s="14">
        <v>328699.65999999997</v>
      </c>
      <c r="L36" s="14">
        <v>0</v>
      </c>
    </row>
    <row r="37" spans="1:12">
      <c r="A37" t="s">
        <v>211</v>
      </c>
      <c r="B37" t="s">
        <v>212</v>
      </c>
      <c r="C37" t="s">
        <v>213</v>
      </c>
      <c r="D37" t="s">
        <v>214</v>
      </c>
      <c r="E37" t="s">
        <v>215</v>
      </c>
      <c r="F37" s="14">
        <v>22770</v>
      </c>
      <c r="G37" s="14">
        <v>7500</v>
      </c>
      <c r="H37" s="14">
        <v>0</v>
      </c>
      <c r="I37" t="s">
        <v>216</v>
      </c>
      <c r="J37" s="14">
        <v>22770</v>
      </c>
      <c r="K37" s="14">
        <v>7500</v>
      </c>
      <c r="L37" s="14">
        <v>0</v>
      </c>
    </row>
    <row r="38" spans="1:12">
      <c r="A38" t="s">
        <v>217</v>
      </c>
      <c r="B38" t="s">
        <v>218</v>
      </c>
      <c r="C38" t="s">
        <v>219</v>
      </c>
      <c r="D38" t="s">
        <v>220</v>
      </c>
      <c r="E38" t="s">
        <v>221</v>
      </c>
      <c r="F38" s="14">
        <v>35240</v>
      </c>
      <c r="G38" s="14">
        <v>35240.400000000001</v>
      </c>
      <c r="H38" s="14">
        <v>0</v>
      </c>
      <c r="I38" t="s">
        <v>222</v>
      </c>
      <c r="J38" s="14">
        <v>35240</v>
      </c>
      <c r="K38" s="14">
        <v>35240.400000000001</v>
      </c>
      <c r="L38" s="14">
        <v>0</v>
      </c>
    </row>
    <row r="39" spans="1:12">
      <c r="A39" t="s">
        <v>223</v>
      </c>
      <c r="B39" t="s">
        <v>224</v>
      </c>
      <c r="C39" t="s">
        <v>225</v>
      </c>
      <c r="D39" t="s">
        <v>226</v>
      </c>
      <c r="E39" t="s">
        <v>227</v>
      </c>
      <c r="F39" s="14">
        <v>3900000</v>
      </c>
      <c r="G39" s="14">
        <v>3898921.02</v>
      </c>
      <c r="H39" s="14">
        <v>0</v>
      </c>
      <c r="I39" t="s">
        <v>228</v>
      </c>
      <c r="J39" s="14">
        <v>1970000</v>
      </c>
      <c r="K39" s="14">
        <v>1842681.88</v>
      </c>
      <c r="L39" s="14">
        <v>0</v>
      </c>
    </row>
    <row r="40" spans="1:12">
      <c r="A40" t="s">
        <v>229</v>
      </c>
      <c r="B40" t="s">
        <v>230</v>
      </c>
      <c r="C40" t="s">
        <v>231</v>
      </c>
      <c r="D40" t="s">
        <v>232</v>
      </c>
      <c r="E40" t="s">
        <v>233</v>
      </c>
      <c r="F40" s="14">
        <v>0</v>
      </c>
      <c r="G40" s="14">
        <v>0</v>
      </c>
      <c r="H40" s="14">
        <v>0</v>
      </c>
      <c r="I40" t="s">
        <v>234</v>
      </c>
      <c r="J40" s="14">
        <v>30000</v>
      </c>
      <c r="K40" s="14">
        <v>26877.14</v>
      </c>
      <c r="L40" s="14">
        <v>0</v>
      </c>
    </row>
    <row r="41" spans="1:12">
      <c r="A41" t="s">
        <v>235</v>
      </c>
      <c r="B41" t="s">
        <v>236</v>
      </c>
      <c r="C41" t="s">
        <v>237</v>
      </c>
      <c r="D41" t="s">
        <v>238</v>
      </c>
      <c r="E41" t="s">
        <v>239</v>
      </c>
      <c r="F41" s="14">
        <v>0</v>
      </c>
      <c r="G41" s="14">
        <v>0</v>
      </c>
      <c r="H41" s="14">
        <v>0</v>
      </c>
      <c r="I41" t="s">
        <v>240</v>
      </c>
      <c r="J41" s="14">
        <v>1900000</v>
      </c>
      <c r="K41" s="14">
        <v>2029362</v>
      </c>
      <c r="L41" s="14">
        <v>0</v>
      </c>
    </row>
    <row r="42" spans="1:12">
      <c r="A42" t="s">
        <v>241</v>
      </c>
      <c r="B42" t="s">
        <v>242</v>
      </c>
      <c r="C42" t="s">
        <v>243</v>
      </c>
      <c r="D42" t="s">
        <v>244</v>
      </c>
      <c r="E42" t="s">
        <v>245</v>
      </c>
      <c r="F42" s="14">
        <v>110000</v>
      </c>
      <c r="G42" s="14">
        <v>41260</v>
      </c>
      <c r="H42" s="14">
        <v>0</v>
      </c>
      <c r="I42" t="s">
        <v>246</v>
      </c>
      <c r="J42" s="14">
        <v>20000</v>
      </c>
      <c r="K42" s="14">
        <v>0</v>
      </c>
      <c r="L42" s="14">
        <v>0</v>
      </c>
    </row>
    <row r="43" spans="1:12">
      <c r="A43" t="s">
        <v>247</v>
      </c>
      <c r="B43" t="s">
        <v>248</v>
      </c>
      <c r="C43" t="s">
        <v>249</v>
      </c>
      <c r="D43" t="s">
        <v>250</v>
      </c>
      <c r="E43" t="s">
        <v>251</v>
      </c>
      <c r="F43" s="14">
        <v>0</v>
      </c>
      <c r="G43" s="14">
        <v>0</v>
      </c>
      <c r="H43" s="14">
        <v>0</v>
      </c>
      <c r="I43" t="s">
        <v>252</v>
      </c>
      <c r="J43" s="14">
        <v>90000</v>
      </c>
      <c r="K43" s="14">
        <v>41260</v>
      </c>
      <c r="L43" s="14">
        <v>0</v>
      </c>
    </row>
    <row r="44" spans="1:12">
      <c r="A44" t="s">
        <v>253</v>
      </c>
      <c r="B44" t="s">
        <v>254</v>
      </c>
      <c r="C44" t="s">
        <v>255</v>
      </c>
      <c r="D44" t="s">
        <v>256</v>
      </c>
      <c r="E44" t="s">
        <v>257</v>
      </c>
      <c r="F44" s="14">
        <v>590000</v>
      </c>
      <c r="G44" s="14">
        <v>605420.68999999994</v>
      </c>
      <c r="H44" s="14">
        <v>0</v>
      </c>
      <c r="I44" t="s">
        <v>258</v>
      </c>
      <c r="J44" s="14">
        <v>290000</v>
      </c>
      <c r="K44" s="14">
        <v>285956.63</v>
      </c>
      <c r="L44" s="14">
        <v>0</v>
      </c>
    </row>
    <row r="45" spans="1:12">
      <c r="A45" t="s">
        <v>259</v>
      </c>
      <c r="B45" t="s">
        <v>260</v>
      </c>
      <c r="C45" t="s">
        <v>261</v>
      </c>
      <c r="D45" t="s">
        <v>262</v>
      </c>
      <c r="E45" t="s">
        <v>263</v>
      </c>
      <c r="F45" s="14">
        <v>0</v>
      </c>
      <c r="G45" s="14">
        <v>0</v>
      </c>
      <c r="H45" s="14">
        <v>0</v>
      </c>
      <c r="I45" t="s">
        <v>264</v>
      </c>
      <c r="J45" s="14">
        <v>5000</v>
      </c>
      <c r="K45" s="14">
        <v>4165.95</v>
      </c>
      <c r="L45" s="14">
        <v>0</v>
      </c>
    </row>
    <row r="46" spans="1:12">
      <c r="A46" t="s">
        <v>265</v>
      </c>
      <c r="B46" t="s">
        <v>266</v>
      </c>
      <c r="C46" t="s">
        <v>267</v>
      </c>
      <c r="D46" t="s">
        <v>268</v>
      </c>
      <c r="E46" t="s">
        <v>269</v>
      </c>
      <c r="F46" s="14">
        <v>0</v>
      </c>
      <c r="G46" s="14">
        <v>0</v>
      </c>
      <c r="H46" s="14">
        <v>0</v>
      </c>
      <c r="I46" t="s">
        <v>270</v>
      </c>
      <c r="J46" s="14">
        <v>295000</v>
      </c>
      <c r="K46" s="14">
        <v>315298.11</v>
      </c>
      <c r="L46" s="14">
        <v>0</v>
      </c>
    </row>
    <row r="47" spans="1:12">
      <c r="A47" t="s">
        <v>271</v>
      </c>
      <c r="B47" t="s">
        <v>272</v>
      </c>
      <c r="C47" t="s">
        <v>273</v>
      </c>
      <c r="D47" t="s">
        <v>274</v>
      </c>
      <c r="E47" t="s">
        <v>275</v>
      </c>
      <c r="F47" s="14">
        <v>74000</v>
      </c>
      <c r="G47" s="14">
        <v>66319.070000000007</v>
      </c>
      <c r="H47" s="14">
        <v>0</v>
      </c>
      <c r="I47" t="s">
        <v>276</v>
      </c>
      <c r="J47" s="14">
        <v>2000</v>
      </c>
      <c r="K47" s="14">
        <v>456.92</v>
      </c>
      <c r="L47" s="14">
        <v>0</v>
      </c>
    </row>
    <row r="48" spans="1:12">
      <c r="A48" t="s">
        <v>277</v>
      </c>
      <c r="B48" t="s">
        <v>278</v>
      </c>
      <c r="C48" t="s">
        <v>279</v>
      </c>
      <c r="D48" t="s">
        <v>280</v>
      </c>
      <c r="E48" t="s">
        <v>281</v>
      </c>
      <c r="F48" s="14">
        <v>0</v>
      </c>
      <c r="G48" s="14">
        <v>0</v>
      </c>
      <c r="H48" s="14">
        <v>0</v>
      </c>
      <c r="I48" t="s">
        <v>282</v>
      </c>
      <c r="J48" s="14">
        <v>32000</v>
      </c>
      <c r="K48" s="14">
        <v>34499.24</v>
      </c>
      <c r="L48" s="14">
        <v>0</v>
      </c>
    </row>
    <row r="49" spans="1:12">
      <c r="A49" t="s">
        <v>283</v>
      </c>
      <c r="B49" t="s">
        <v>284</v>
      </c>
      <c r="C49" t="s">
        <v>285</v>
      </c>
      <c r="D49" t="s">
        <v>286</v>
      </c>
      <c r="E49" t="s">
        <v>287</v>
      </c>
      <c r="F49" s="14">
        <v>0</v>
      </c>
      <c r="G49" s="14">
        <v>0</v>
      </c>
      <c r="H49" s="14">
        <v>0</v>
      </c>
      <c r="I49" t="s">
        <v>288</v>
      </c>
      <c r="J49" s="14">
        <v>40000</v>
      </c>
      <c r="K49" s="14">
        <v>31362.91</v>
      </c>
      <c r="L49" s="14">
        <v>0</v>
      </c>
    </row>
    <row r="50" spans="1:12">
      <c r="A50" t="s">
        <v>289</v>
      </c>
      <c r="B50" t="s">
        <v>290</v>
      </c>
      <c r="C50" t="s">
        <v>291</v>
      </c>
      <c r="D50" t="s">
        <v>292</v>
      </c>
      <c r="E50" t="s">
        <v>293</v>
      </c>
      <c r="F50" s="14">
        <v>605000</v>
      </c>
      <c r="G50" s="14">
        <v>517468.38</v>
      </c>
      <c r="H50" s="14">
        <v>0</v>
      </c>
      <c r="I50" t="s">
        <v>294</v>
      </c>
      <c r="J50" s="14">
        <v>255000</v>
      </c>
      <c r="K50" s="14">
        <v>311773.65999999997</v>
      </c>
      <c r="L50" s="14">
        <v>0</v>
      </c>
    </row>
    <row r="51" spans="1:12">
      <c r="A51" t="s">
        <v>295</v>
      </c>
      <c r="B51" t="s">
        <v>296</v>
      </c>
      <c r="C51" t="s">
        <v>297</v>
      </c>
      <c r="D51" t="s">
        <v>298</v>
      </c>
      <c r="E51" t="s">
        <v>299</v>
      </c>
      <c r="F51" s="14">
        <v>0</v>
      </c>
      <c r="G51" s="14">
        <v>0</v>
      </c>
      <c r="H51" s="14">
        <v>0</v>
      </c>
      <c r="I51" t="s">
        <v>300</v>
      </c>
      <c r="J51" s="14">
        <v>260000</v>
      </c>
      <c r="K51" s="14">
        <v>122608.24</v>
      </c>
      <c r="L51" s="14">
        <v>0</v>
      </c>
    </row>
    <row r="52" spans="1:12">
      <c r="A52" t="s">
        <v>301</v>
      </c>
      <c r="B52" t="s">
        <v>302</v>
      </c>
      <c r="C52" t="s">
        <v>303</v>
      </c>
      <c r="D52" t="s">
        <v>304</v>
      </c>
      <c r="E52" t="s">
        <v>305</v>
      </c>
      <c r="F52" s="14">
        <v>0</v>
      </c>
      <c r="G52" s="14">
        <v>0</v>
      </c>
      <c r="H52" s="14">
        <v>0</v>
      </c>
      <c r="I52" t="s">
        <v>306</v>
      </c>
      <c r="J52" s="14">
        <v>90000</v>
      </c>
      <c r="K52" s="14">
        <v>83086.48</v>
      </c>
      <c r="L52" s="14">
        <v>0</v>
      </c>
    </row>
    <row r="53" spans="1:12">
      <c r="A53" t="s">
        <v>307</v>
      </c>
      <c r="B53" t="s">
        <v>308</v>
      </c>
      <c r="C53" t="s">
        <v>309</v>
      </c>
      <c r="D53" t="s">
        <v>310</v>
      </c>
      <c r="E53" t="s">
        <v>311</v>
      </c>
      <c r="F53" s="14">
        <v>7000</v>
      </c>
      <c r="G53" s="14">
        <v>4120.3599999999997</v>
      </c>
      <c r="H53" s="14">
        <v>0</v>
      </c>
      <c r="I53" t="s">
        <v>312</v>
      </c>
      <c r="J53" s="14">
        <v>5000</v>
      </c>
      <c r="K53" s="14">
        <v>4120.3599999999997</v>
      </c>
      <c r="L53" s="14">
        <v>0</v>
      </c>
    </row>
    <row r="54" spans="1:12">
      <c r="A54" t="s">
        <v>313</v>
      </c>
      <c r="B54" t="s">
        <v>314</v>
      </c>
      <c r="C54" t="s">
        <v>315</v>
      </c>
      <c r="D54" t="s">
        <v>316</v>
      </c>
      <c r="E54" t="s">
        <v>317</v>
      </c>
      <c r="F54" s="14">
        <v>0</v>
      </c>
      <c r="G54" s="14">
        <v>0</v>
      </c>
      <c r="H54" s="14">
        <v>0</v>
      </c>
      <c r="I54" t="s">
        <v>318</v>
      </c>
      <c r="J54" s="14">
        <v>2000</v>
      </c>
      <c r="K54" s="14">
        <v>0</v>
      </c>
      <c r="L54" s="14">
        <v>0</v>
      </c>
    </row>
    <row r="55" spans="1:12">
      <c r="A55" t="s">
        <v>319</v>
      </c>
      <c r="B55" t="s">
        <v>320</v>
      </c>
      <c r="C55" t="s">
        <v>321</v>
      </c>
      <c r="D55" t="s">
        <v>322</v>
      </c>
      <c r="E55" t="s">
        <v>323</v>
      </c>
      <c r="F55" s="14">
        <v>116000</v>
      </c>
      <c r="G55" s="14">
        <v>114909.47</v>
      </c>
      <c r="H55" s="14">
        <v>0</v>
      </c>
      <c r="I55" t="s">
        <v>324</v>
      </c>
      <c r="J55" s="14">
        <v>60000</v>
      </c>
      <c r="K55" s="14">
        <v>64022.22</v>
      </c>
      <c r="L55" s="14">
        <v>0</v>
      </c>
    </row>
    <row r="56" spans="1:12">
      <c r="A56" t="s">
        <v>325</v>
      </c>
      <c r="B56" t="s">
        <v>326</v>
      </c>
      <c r="C56" t="s">
        <v>327</v>
      </c>
      <c r="D56" t="s">
        <v>328</v>
      </c>
      <c r="E56" t="s">
        <v>329</v>
      </c>
      <c r="F56" s="14">
        <v>0</v>
      </c>
      <c r="G56" s="14">
        <v>0</v>
      </c>
      <c r="H56" s="14">
        <v>0</v>
      </c>
      <c r="I56" t="s">
        <v>330</v>
      </c>
      <c r="J56" s="14">
        <v>6000</v>
      </c>
      <c r="K56" s="14">
        <v>5453.51</v>
      </c>
      <c r="L56" s="14">
        <v>0</v>
      </c>
    </row>
    <row r="57" spans="1:12">
      <c r="A57" t="s">
        <v>331</v>
      </c>
      <c r="B57" t="s">
        <v>332</v>
      </c>
      <c r="C57" t="s">
        <v>333</v>
      </c>
      <c r="D57" t="s">
        <v>334</v>
      </c>
      <c r="E57" t="s">
        <v>335</v>
      </c>
      <c r="F57" s="14">
        <v>0</v>
      </c>
      <c r="G57" s="14">
        <v>0</v>
      </c>
      <c r="H57" s="14">
        <v>0</v>
      </c>
      <c r="I57" t="s">
        <v>336</v>
      </c>
      <c r="J57" s="14">
        <v>50000</v>
      </c>
      <c r="K57" s="14">
        <v>45433.74</v>
      </c>
      <c r="L57" s="14">
        <v>0</v>
      </c>
    </row>
    <row r="58" spans="1:12">
      <c r="A58" t="s">
        <v>337</v>
      </c>
      <c r="B58" t="s">
        <v>338</v>
      </c>
      <c r="C58" t="s">
        <v>339</v>
      </c>
      <c r="D58" t="s">
        <v>340</v>
      </c>
      <c r="E58" t="s">
        <v>341</v>
      </c>
      <c r="F58" s="14">
        <v>320000</v>
      </c>
      <c r="G58" s="14">
        <v>279462.26</v>
      </c>
      <c r="H58" s="14">
        <v>0</v>
      </c>
      <c r="I58" t="s">
        <v>342</v>
      </c>
      <c r="J58" s="14">
        <v>10000</v>
      </c>
      <c r="K58" s="14">
        <v>5642.6</v>
      </c>
      <c r="L58" s="14">
        <v>0</v>
      </c>
    </row>
    <row r="59" spans="1:12">
      <c r="A59" t="s">
        <v>343</v>
      </c>
      <c r="B59" t="s">
        <v>344</v>
      </c>
      <c r="C59" t="s">
        <v>345</v>
      </c>
      <c r="D59" t="s">
        <v>346</v>
      </c>
      <c r="E59" t="s">
        <v>347</v>
      </c>
      <c r="F59" s="14">
        <v>0</v>
      </c>
      <c r="G59" s="14">
        <v>0</v>
      </c>
      <c r="H59" s="14">
        <v>0</v>
      </c>
      <c r="I59" t="s">
        <v>348</v>
      </c>
      <c r="J59" s="14">
        <v>60000</v>
      </c>
      <c r="K59" s="14">
        <v>50443.360000000001</v>
      </c>
      <c r="L59" s="14">
        <v>0</v>
      </c>
    </row>
    <row r="60" spans="1:12">
      <c r="A60" t="s">
        <v>349</v>
      </c>
      <c r="B60" t="s">
        <v>350</v>
      </c>
      <c r="C60" t="s">
        <v>351</v>
      </c>
      <c r="D60" t="s">
        <v>352</v>
      </c>
      <c r="E60" t="s">
        <v>353</v>
      </c>
      <c r="F60" s="14">
        <v>0</v>
      </c>
      <c r="G60" s="14">
        <v>0</v>
      </c>
      <c r="H60" s="14">
        <v>0</v>
      </c>
      <c r="I60" t="s">
        <v>354</v>
      </c>
      <c r="J60" s="14">
        <v>250000</v>
      </c>
      <c r="K60" s="14">
        <v>223376.3</v>
      </c>
      <c r="L60" s="14">
        <v>0</v>
      </c>
    </row>
    <row r="61" spans="1:12">
      <c r="A61" t="s">
        <v>355</v>
      </c>
      <c r="B61" t="s">
        <v>356</v>
      </c>
      <c r="C61" t="s">
        <v>357</v>
      </c>
      <c r="D61" t="s">
        <v>358</v>
      </c>
      <c r="E61" t="s">
        <v>359</v>
      </c>
      <c r="F61" s="14">
        <v>2000</v>
      </c>
      <c r="G61" s="14">
        <v>1056.25</v>
      </c>
      <c r="H61" s="14">
        <v>0</v>
      </c>
      <c r="I61" t="s">
        <v>360</v>
      </c>
      <c r="J61" s="14">
        <v>2000</v>
      </c>
      <c r="K61" s="14">
        <v>1056.25</v>
      </c>
      <c r="L61" s="14">
        <v>0</v>
      </c>
    </row>
    <row r="62" spans="1:12">
      <c r="A62" t="s">
        <v>361</v>
      </c>
      <c r="B62" t="s">
        <v>362</v>
      </c>
      <c r="C62" t="s">
        <v>363</v>
      </c>
      <c r="D62" t="s">
        <v>364</v>
      </c>
      <c r="E62" t="s">
        <v>365</v>
      </c>
      <c r="F62" s="14">
        <v>55300</v>
      </c>
      <c r="G62" s="14">
        <v>14298.2</v>
      </c>
      <c r="H62" s="14">
        <v>0</v>
      </c>
      <c r="I62" t="s">
        <v>366</v>
      </c>
      <c r="J62" s="14">
        <v>20000</v>
      </c>
      <c r="K62" s="14">
        <v>13588.45</v>
      </c>
      <c r="L62" s="14">
        <v>0</v>
      </c>
    </row>
    <row r="63" spans="1:12">
      <c r="A63" t="s">
        <v>367</v>
      </c>
      <c r="B63" t="s">
        <v>368</v>
      </c>
      <c r="C63" t="s">
        <v>369</v>
      </c>
      <c r="D63" t="s">
        <v>370</v>
      </c>
      <c r="E63" t="s">
        <v>371</v>
      </c>
      <c r="F63" s="14">
        <v>0</v>
      </c>
      <c r="G63" s="14">
        <v>0</v>
      </c>
      <c r="H63" s="14">
        <v>0</v>
      </c>
      <c r="I63" t="s">
        <v>372</v>
      </c>
      <c r="J63" s="14">
        <v>3000</v>
      </c>
      <c r="K63" s="14">
        <v>709.75</v>
      </c>
      <c r="L63" s="14">
        <v>0</v>
      </c>
    </row>
    <row r="64" spans="1:12">
      <c r="A64" t="s">
        <v>373</v>
      </c>
      <c r="B64" t="s">
        <v>374</v>
      </c>
      <c r="C64" t="s">
        <v>375</v>
      </c>
      <c r="D64" t="s">
        <v>376</v>
      </c>
      <c r="E64" t="s">
        <v>377</v>
      </c>
      <c r="F64" s="14">
        <v>0</v>
      </c>
      <c r="G64" s="14">
        <v>0</v>
      </c>
      <c r="H64" s="14">
        <v>0</v>
      </c>
      <c r="I64" t="s">
        <v>378</v>
      </c>
      <c r="J64" s="14">
        <v>32300</v>
      </c>
      <c r="K64" s="14">
        <v>0</v>
      </c>
      <c r="L64" s="14">
        <v>0</v>
      </c>
    </row>
    <row r="65" spans="1:12">
      <c r="A65" t="s">
        <v>379</v>
      </c>
      <c r="B65" t="s">
        <v>380</v>
      </c>
      <c r="C65" t="s">
        <v>381</v>
      </c>
      <c r="D65" t="s">
        <v>382</v>
      </c>
      <c r="E65" t="s">
        <v>383</v>
      </c>
      <c r="F65" s="14">
        <v>48000</v>
      </c>
      <c r="G65" s="14">
        <v>66272.28</v>
      </c>
      <c r="H65" s="14">
        <v>0</v>
      </c>
      <c r="I65" t="s">
        <v>384</v>
      </c>
      <c r="J65" s="14">
        <v>10000</v>
      </c>
      <c r="K65" s="14">
        <v>29217.68</v>
      </c>
      <c r="L65" s="14">
        <v>0</v>
      </c>
    </row>
    <row r="66" spans="1:12">
      <c r="A66" t="s">
        <v>385</v>
      </c>
      <c r="B66" t="s">
        <v>386</v>
      </c>
      <c r="C66" t="s">
        <v>387</v>
      </c>
      <c r="D66" t="s">
        <v>388</v>
      </c>
      <c r="E66" t="s">
        <v>389</v>
      </c>
      <c r="F66" s="14">
        <v>0</v>
      </c>
      <c r="G66" s="14">
        <v>0</v>
      </c>
      <c r="H66" s="14">
        <v>0</v>
      </c>
      <c r="I66" t="s">
        <v>390</v>
      </c>
      <c r="J66" s="14">
        <v>38000</v>
      </c>
      <c r="K66" s="14">
        <v>37054.6</v>
      </c>
      <c r="L66" s="14">
        <v>0</v>
      </c>
    </row>
    <row r="67" spans="1:12">
      <c r="A67" t="s">
        <v>391</v>
      </c>
      <c r="B67" t="s">
        <v>392</v>
      </c>
      <c r="C67" t="s">
        <v>393</v>
      </c>
      <c r="D67" t="s">
        <v>394</v>
      </c>
      <c r="E67" t="s">
        <v>395</v>
      </c>
      <c r="F67" s="14">
        <v>20000</v>
      </c>
      <c r="G67" s="14">
        <v>19485.16</v>
      </c>
      <c r="H67" s="14">
        <v>0</v>
      </c>
      <c r="I67" t="s">
        <v>396</v>
      </c>
      <c r="J67" s="14">
        <v>20000</v>
      </c>
      <c r="K67" s="14">
        <v>19485.16</v>
      </c>
      <c r="L67" s="14">
        <v>0</v>
      </c>
    </row>
    <row r="68" spans="1:12">
      <c r="A68" t="s">
        <v>397</v>
      </c>
      <c r="B68" t="s">
        <v>398</v>
      </c>
      <c r="C68" t="s">
        <v>399</v>
      </c>
      <c r="D68" t="s">
        <v>400</v>
      </c>
      <c r="E68" t="s">
        <v>401</v>
      </c>
      <c r="F68" s="14">
        <v>95000</v>
      </c>
      <c r="G68" s="14">
        <v>60479.48</v>
      </c>
      <c r="H68" s="14">
        <v>0</v>
      </c>
      <c r="I68" t="s">
        <v>402</v>
      </c>
      <c r="J68" s="14">
        <v>60000</v>
      </c>
      <c r="K68" s="14">
        <v>44399.87</v>
      </c>
      <c r="L68" s="14">
        <v>0</v>
      </c>
    </row>
    <row r="69" spans="1:12">
      <c r="A69" t="s">
        <v>403</v>
      </c>
      <c r="B69" t="s">
        <v>404</v>
      </c>
      <c r="C69" t="s">
        <v>405</v>
      </c>
      <c r="D69" t="s">
        <v>406</v>
      </c>
      <c r="E69" t="s">
        <v>407</v>
      </c>
      <c r="F69" s="14">
        <v>0</v>
      </c>
      <c r="G69" s="14">
        <v>0</v>
      </c>
      <c r="H69" s="14">
        <v>0</v>
      </c>
      <c r="I69" t="s">
        <v>408</v>
      </c>
      <c r="J69" s="14">
        <v>25000</v>
      </c>
      <c r="K69" s="14">
        <v>9014.84</v>
      </c>
      <c r="L69" s="14">
        <v>0</v>
      </c>
    </row>
    <row r="70" spans="1:12">
      <c r="A70" t="s">
        <v>409</v>
      </c>
      <c r="B70" t="s">
        <v>410</v>
      </c>
      <c r="C70" t="s">
        <v>411</v>
      </c>
      <c r="D70" t="s">
        <v>412</v>
      </c>
      <c r="E70" t="s">
        <v>413</v>
      </c>
      <c r="F70" s="14">
        <v>0</v>
      </c>
      <c r="G70" s="14">
        <v>0</v>
      </c>
      <c r="H70" s="14">
        <v>0</v>
      </c>
      <c r="I70" t="s">
        <v>414</v>
      </c>
      <c r="J70" s="14">
        <v>10000</v>
      </c>
      <c r="K70" s="14">
        <v>7064.77</v>
      </c>
      <c r="L70" s="14">
        <v>0</v>
      </c>
    </row>
    <row r="71" spans="1:12">
      <c r="A71" t="s">
        <v>415</v>
      </c>
      <c r="B71" t="s">
        <v>416</v>
      </c>
      <c r="C71" t="s">
        <v>417</v>
      </c>
      <c r="D71" t="s">
        <v>418</v>
      </c>
      <c r="E71" t="s">
        <v>419</v>
      </c>
      <c r="F71" s="14">
        <v>700000</v>
      </c>
      <c r="G71" s="14">
        <v>694140</v>
      </c>
      <c r="H71" s="14">
        <v>0</v>
      </c>
      <c r="I71" t="s">
        <v>420</v>
      </c>
      <c r="J71" s="14">
        <v>615000</v>
      </c>
      <c r="K71" s="14">
        <v>619590.22</v>
      </c>
      <c r="L71" s="14">
        <v>0</v>
      </c>
    </row>
    <row r="72" spans="1:12">
      <c r="A72" t="s">
        <v>421</v>
      </c>
      <c r="B72" t="s">
        <v>422</v>
      </c>
      <c r="C72" t="s">
        <v>423</v>
      </c>
      <c r="D72" t="s">
        <v>424</v>
      </c>
      <c r="E72" t="s">
        <v>425</v>
      </c>
      <c r="F72" s="14">
        <v>0</v>
      </c>
      <c r="G72" s="14">
        <v>0</v>
      </c>
      <c r="H72" s="14">
        <v>0</v>
      </c>
      <c r="I72" t="s">
        <v>426</v>
      </c>
      <c r="J72" s="14">
        <v>35000</v>
      </c>
      <c r="K72" s="14">
        <v>30197.72</v>
      </c>
      <c r="L72" s="14">
        <v>0</v>
      </c>
    </row>
    <row r="73" spans="1:12">
      <c r="A73" t="s">
        <v>427</v>
      </c>
      <c r="B73" t="s">
        <v>428</v>
      </c>
      <c r="C73" t="s">
        <v>429</v>
      </c>
      <c r="D73" t="s">
        <v>430</v>
      </c>
      <c r="E73" t="s">
        <v>431</v>
      </c>
      <c r="F73" s="14">
        <v>0</v>
      </c>
      <c r="G73" s="14">
        <v>0</v>
      </c>
      <c r="H73" s="14">
        <v>0</v>
      </c>
      <c r="I73" t="s">
        <v>432</v>
      </c>
      <c r="J73" s="14">
        <v>50000</v>
      </c>
      <c r="K73" s="14">
        <v>44352.06</v>
      </c>
      <c r="L73" s="14">
        <v>0</v>
      </c>
    </row>
    <row r="74" spans="1:12">
      <c r="A74" t="s">
        <v>433</v>
      </c>
      <c r="B74" t="s">
        <v>434</v>
      </c>
      <c r="C74" t="s">
        <v>435</v>
      </c>
      <c r="D74" t="s">
        <v>436</v>
      </c>
      <c r="E74" t="s">
        <v>437</v>
      </c>
      <c r="F74" s="14">
        <v>51000</v>
      </c>
      <c r="G74" s="14">
        <v>14330.79</v>
      </c>
      <c r="H74" s="14">
        <v>0</v>
      </c>
      <c r="I74" t="s">
        <v>438</v>
      </c>
      <c r="J74" s="14">
        <v>1000</v>
      </c>
      <c r="K74" s="14">
        <v>1321.91</v>
      </c>
      <c r="L74" s="14">
        <v>0</v>
      </c>
    </row>
    <row r="75" spans="1:12">
      <c r="A75" t="s">
        <v>439</v>
      </c>
      <c r="B75" t="s">
        <v>440</v>
      </c>
      <c r="C75" t="s">
        <v>441</v>
      </c>
      <c r="D75" t="s">
        <v>442</v>
      </c>
      <c r="E75" t="s">
        <v>443</v>
      </c>
      <c r="F75" s="14">
        <v>0</v>
      </c>
      <c r="G75" s="14">
        <v>0</v>
      </c>
      <c r="H75" s="14">
        <v>0</v>
      </c>
      <c r="I75" t="s">
        <v>444</v>
      </c>
      <c r="J75" s="14">
        <v>50000</v>
      </c>
      <c r="K75" s="14">
        <v>13008.88</v>
      </c>
      <c r="L75" s="14">
        <v>0</v>
      </c>
    </row>
    <row r="76" spans="1:12">
      <c r="A76" t="s">
        <v>445</v>
      </c>
      <c r="B76" t="s">
        <v>446</v>
      </c>
      <c r="C76" t="s">
        <v>447</v>
      </c>
      <c r="D76" t="s">
        <v>448</v>
      </c>
      <c r="E76" t="s">
        <v>449</v>
      </c>
      <c r="F76" s="14">
        <v>97250</v>
      </c>
      <c r="G76" s="14">
        <v>37684.85</v>
      </c>
      <c r="H76" s="14">
        <v>0</v>
      </c>
      <c r="I76" t="s">
        <v>450</v>
      </c>
      <c r="J76" s="14">
        <v>10000</v>
      </c>
      <c r="K76" s="14">
        <v>3988.13</v>
      </c>
      <c r="L76" s="14">
        <v>0</v>
      </c>
    </row>
    <row r="77" spans="1:12">
      <c r="A77" t="s">
        <v>451</v>
      </c>
      <c r="B77" t="s">
        <v>452</v>
      </c>
      <c r="C77" t="s">
        <v>453</v>
      </c>
      <c r="D77" t="s">
        <v>454</v>
      </c>
      <c r="E77" t="s">
        <v>455</v>
      </c>
      <c r="F77" s="14">
        <v>0</v>
      </c>
      <c r="G77" s="14">
        <v>0</v>
      </c>
      <c r="H77" s="14">
        <v>0</v>
      </c>
      <c r="I77" t="s">
        <v>456</v>
      </c>
      <c r="J77" s="14">
        <v>87250</v>
      </c>
      <c r="K77" s="14">
        <v>33696.720000000001</v>
      </c>
      <c r="L77" s="14">
        <v>0</v>
      </c>
    </row>
    <row r="78" spans="1:12">
      <c r="A78" t="s">
        <v>457</v>
      </c>
      <c r="B78" t="s">
        <v>458</v>
      </c>
      <c r="C78" t="s">
        <v>459</v>
      </c>
      <c r="D78" t="s">
        <v>460</v>
      </c>
      <c r="E78" t="s">
        <v>461</v>
      </c>
      <c r="F78" s="14">
        <v>258152</v>
      </c>
      <c r="G78" s="14">
        <v>327435.57</v>
      </c>
      <c r="H78" s="14">
        <v>0</v>
      </c>
      <c r="I78" t="s">
        <v>462</v>
      </c>
      <c r="J78" s="14">
        <v>17152</v>
      </c>
      <c r="K78" s="14">
        <v>4222.58</v>
      </c>
      <c r="L78" s="14">
        <v>0</v>
      </c>
    </row>
    <row r="79" spans="1:12">
      <c r="A79" t="s">
        <v>463</v>
      </c>
      <c r="B79" t="s">
        <v>464</v>
      </c>
      <c r="C79" t="s">
        <v>465</v>
      </c>
      <c r="D79" t="s">
        <v>466</v>
      </c>
      <c r="E79" t="s">
        <v>467</v>
      </c>
      <c r="F79" s="14">
        <v>0</v>
      </c>
      <c r="G79" s="14">
        <v>0</v>
      </c>
      <c r="H79" s="14">
        <v>0</v>
      </c>
      <c r="I79" t="s">
        <v>468</v>
      </c>
      <c r="J79" s="14">
        <v>121000</v>
      </c>
      <c r="K79" s="14">
        <v>151428.54999999999</v>
      </c>
      <c r="L79" s="14">
        <v>0</v>
      </c>
    </row>
    <row r="80" spans="1:12">
      <c r="A80" t="s">
        <v>469</v>
      </c>
      <c r="B80" t="s">
        <v>470</v>
      </c>
      <c r="C80" t="s">
        <v>471</v>
      </c>
      <c r="D80" t="s">
        <v>472</v>
      </c>
      <c r="E80" t="s">
        <v>473</v>
      </c>
      <c r="F80" s="14">
        <v>0</v>
      </c>
      <c r="G80" s="14">
        <v>0</v>
      </c>
      <c r="H80" s="14">
        <v>0</v>
      </c>
      <c r="I80" t="s">
        <v>474</v>
      </c>
      <c r="J80" s="14">
        <v>120000</v>
      </c>
      <c r="K80" s="14">
        <v>171784.44</v>
      </c>
      <c r="L80" s="14">
        <v>0</v>
      </c>
    </row>
    <row r="81" spans="1:12">
      <c r="A81" t="s">
        <v>475</v>
      </c>
      <c r="B81" t="s">
        <v>476</v>
      </c>
      <c r="C81" t="s">
        <v>477</v>
      </c>
      <c r="D81" t="s">
        <v>478</v>
      </c>
      <c r="E81" t="s">
        <v>479</v>
      </c>
      <c r="F81" s="14">
        <v>3000</v>
      </c>
      <c r="G81" s="14">
        <v>9985</v>
      </c>
      <c r="H81" s="14">
        <v>0</v>
      </c>
      <c r="I81" t="s">
        <v>480</v>
      </c>
      <c r="J81" s="14">
        <v>3000</v>
      </c>
      <c r="K81" s="14">
        <v>3685</v>
      </c>
      <c r="L81" s="14">
        <v>0</v>
      </c>
    </row>
    <row r="82" spans="1:12">
      <c r="A82" t="s">
        <v>481</v>
      </c>
      <c r="B82" t="s">
        <v>482</v>
      </c>
      <c r="C82" t="s">
        <v>483</v>
      </c>
      <c r="D82" t="s">
        <v>484</v>
      </c>
      <c r="E82" t="s">
        <v>485</v>
      </c>
      <c r="F82" s="14">
        <v>0</v>
      </c>
      <c r="G82" s="14">
        <v>0</v>
      </c>
      <c r="H82" s="14">
        <v>0</v>
      </c>
      <c r="I82" t="s">
        <v>486</v>
      </c>
      <c r="J82" s="14">
        <v>0</v>
      </c>
      <c r="K82" s="14">
        <v>6300</v>
      </c>
      <c r="L82" s="14">
        <v>0</v>
      </c>
    </row>
    <row r="83" spans="1:12">
      <c r="A83" t="s">
        <v>487</v>
      </c>
      <c r="B83" t="s">
        <v>488</v>
      </c>
      <c r="C83" t="s">
        <v>489</v>
      </c>
      <c r="D83" t="s">
        <v>490</v>
      </c>
      <c r="E83" t="s">
        <v>491</v>
      </c>
      <c r="F83" s="14">
        <v>2619100</v>
      </c>
      <c r="G83" s="14">
        <v>2579719.83</v>
      </c>
      <c r="H83" s="14">
        <v>0</v>
      </c>
      <c r="I83" t="s">
        <v>492</v>
      </c>
      <c r="J83" s="14">
        <v>1405000</v>
      </c>
      <c r="K83" s="14">
        <v>449199.08</v>
      </c>
      <c r="L83" s="14">
        <v>0</v>
      </c>
    </row>
    <row r="84" spans="1:12">
      <c r="A84" t="s">
        <v>493</v>
      </c>
      <c r="B84" t="s">
        <v>494</v>
      </c>
      <c r="C84" t="s">
        <v>495</v>
      </c>
      <c r="D84" t="s">
        <v>496</v>
      </c>
      <c r="E84" t="s">
        <v>497</v>
      </c>
      <c r="F84" s="14">
        <v>0</v>
      </c>
      <c r="G84" s="14">
        <v>0</v>
      </c>
      <c r="H84" s="14">
        <v>0</v>
      </c>
      <c r="I84" t="s">
        <v>498</v>
      </c>
      <c r="J84" s="14">
        <v>949100</v>
      </c>
      <c r="K84" s="14">
        <v>2027362.68</v>
      </c>
      <c r="L84" s="14">
        <v>0</v>
      </c>
    </row>
    <row r="85" spans="1:12">
      <c r="A85" t="s">
        <v>499</v>
      </c>
      <c r="B85" t="s">
        <v>500</v>
      </c>
      <c r="C85" t="s">
        <v>501</v>
      </c>
      <c r="D85" t="s">
        <v>502</v>
      </c>
      <c r="E85" t="s">
        <v>503</v>
      </c>
      <c r="F85" s="14">
        <v>0</v>
      </c>
      <c r="G85" s="14">
        <v>0</v>
      </c>
      <c r="H85" s="14">
        <v>0</v>
      </c>
      <c r="I85" t="s">
        <v>504</v>
      </c>
      <c r="J85" s="14">
        <v>265000</v>
      </c>
      <c r="K85" s="14">
        <v>103158.07</v>
      </c>
      <c r="L85" s="14">
        <v>0</v>
      </c>
    </row>
    <row r="86" spans="1:12">
      <c r="A86" t="s">
        <v>505</v>
      </c>
      <c r="B86" t="s">
        <v>506</v>
      </c>
      <c r="C86" t="s">
        <v>507</v>
      </c>
      <c r="D86" t="s">
        <v>508</v>
      </c>
      <c r="E86" t="s">
        <v>509</v>
      </c>
      <c r="F86" s="14">
        <v>20000</v>
      </c>
      <c r="G86" s="14">
        <v>40610.06</v>
      </c>
      <c r="H86" s="14">
        <v>0</v>
      </c>
      <c r="I86" t="s">
        <v>510</v>
      </c>
      <c r="J86" s="14">
        <v>20000</v>
      </c>
      <c r="K86" s="14">
        <v>40610.06</v>
      </c>
      <c r="L86" s="14">
        <v>0</v>
      </c>
    </row>
    <row r="87" spans="1:12">
      <c r="A87" t="s">
        <v>511</v>
      </c>
      <c r="B87" t="s">
        <v>512</v>
      </c>
      <c r="C87" t="s">
        <v>513</v>
      </c>
      <c r="D87" t="s">
        <v>514</v>
      </c>
      <c r="E87" t="s">
        <v>515</v>
      </c>
      <c r="F87" s="14">
        <v>165000</v>
      </c>
      <c r="G87" s="14">
        <v>152695.17000000001</v>
      </c>
      <c r="H87" s="14">
        <v>0</v>
      </c>
      <c r="I87" t="s">
        <v>516</v>
      </c>
      <c r="J87" s="14">
        <v>15000</v>
      </c>
      <c r="K87" s="14">
        <v>8762.5</v>
      </c>
      <c r="L87" s="14">
        <v>0</v>
      </c>
    </row>
    <row r="88" spans="1:12">
      <c r="A88" t="s">
        <v>517</v>
      </c>
      <c r="B88" t="s">
        <v>518</v>
      </c>
      <c r="C88" t="s">
        <v>519</v>
      </c>
      <c r="D88" t="s">
        <v>520</v>
      </c>
      <c r="E88" t="s">
        <v>521</v>
      </c>
      <c r="F88" s="14">
        <v>0</v>
      </c>
      <c r="G88" s="14">
        <v>0</v>
      </c>
      <c r="H88" s="14">
        <v>0</v>
      </c>
      <c r="I88" t="s">
        <v>522</v>
      </c>
      <c r="J88" s="14">
        <v>20000</v>
      </c>
      <c r="K88" s="14">
        <v>0</v>
      </c>
      <c r="L88" s="14">
        <v>0</v>
      </c>
    </row>
    <row r="89" spans="1:12">
      <c r="A89" t="s">
        <v>523</v>
      </c>
      <c r="B89" t="s">
        <v>524</v>
      </c>
      <c r="C89" t="s">
        <v>525</v>
      </c>
      <c r="D89" t="s">
        <v>526</v>
      </c>
      <c r="E89" t="s">
        <v>527</v>
      </c>
      <c r="F89" s="14">
        <v>0</v>
      </c>
      <c r="G89" s="14">
        <v>0</v>
      </c>
      <c r="H89" s="14">
        <v>0</v>
      </c>
      <c r="I89" t="s">
        <v>528</v>
      </c>
      <c r="J89" s="14">
        <v>75000</v>
      </c>
      <c r="K89" s="14">
        <v>75399.75</v>
      </c>
      <c r="L89" s="14">
        <v>0</v>
      </c>
    </row>
    <row r="90" spans="1:12">
      <c r="A90" t="s">
        <v>529</v>
      </c>
      <c r="B90" t="s">
        <v>530</v>
      </c>
      <c r="C90" t="s">
        <v>531</v>
      </c>
      <c r="D90" t="s">
        <v>532</v>
      </c>
      <c r="E90" t="s">
        <v>533</v>
      </c>
      <c r="F90" s="14">
        <v>0</v>
      </c>
      <c r="G90" s="14">
        <v>0</v>
      </c>
      <c r="H90" s="14">
        <v>0</v>
      </c>
      <c r="I90" t="s">
        <v>534</v>
      </c>
      <c r="J90" s="14">
        <v>55000</v>
      </c>
      <c r="K90" s="14">
        <v>68532.92</v>
      </c>
      <c r="L90" s="14">
        <v>0</v>
      </c>
    </row>
    <row r="91" spans="1:12">
      <c r="A91" t="s">
        <v>535</v>
      </c>
      <c r="B91" t="s">
        <v>536</v>
      </c>
      <c r="C91" t="s">
        <v>537</v>
      </c>
      <c r="D91" t="s">
        <v>538</v>
      </c>
      <c r="E91" t="s">
        <v>539</v>
      </c>
      <c r="F91" s="14">
        <v>17848</v>
      </c>
      <c r="G91" s="14">
        <v>30824.45</v>
      </c>
      <c r="H91" s="14">
        <v>0</v>
      </c>
      <c r="I91" t="s">
        <v>540</v>
      </c>
      <c r="J91" s="14">
        <v>7848</v>
      </c>
      <c r="K91" s="14">
        <v>27189.56</v>
      </c>
      <c r="L91" s="14">
        <v>0</v>
      </c>
    </row>
    <row r="92" spans="1:12">
      <c r="A92" t="s">
        <v>541</v>
      </c>
      <c r="B92" t="s">
        <v>542</v>
      </c>
      <c r="C92" t="s">
        <v>543</v>
      </c>
      <c r="D92" t="s">
        <v>544</v>
      </c>
      <c r="E92" t="s">
        <v>545</v>
      </c>
      <c r="F92" s="14">
        <v>0</v>
      </c>
      <c r="G92" s="14">
        <v>0</v>
      </c>
      <c r="H92" s="14">
        <v>0</v>
      </c>
      <c r="I92" t="s">
        <v>546</v>
      </c>
      <c r="J92" s="14">
        <v>10000</v>
      </c>
      <c r="K92" s="14">
        <v>3634.89</v>
      </c>
      <c r="L92" s="14">
        <v>0</v>
      </c>
    </row>
    <row r="93" spans="1:12">
      <c r="A93" t="s">
        <v>547</v>
      </c>
      <c r="B93" t="s">
        <v>548</v>
      </c>
      <c r="C93" t="s">
        <v>549</v>
      </c>
      <c r="D93" t="s">
        <v>550</v>
      </c>
      <c r="E93" t="s">
        <v>551</v>
      </c>
      <c r="F93" s="14">
        <v>500</v>
      </c>
      <c r="G93" s="14">
        <v>19476.27</v>
      </c>
      <c r="H93" s="14">
        <v>0</v>
      </c>
      <c r="I93" t="s">
        <v>552</v>
      </c>
      <c r="J93" s="14">
        <v>0</v>
      </c>
      <c r="K93" s="14">
        <v>540.32000000000005</v>
      </c>
      <c r="L93" s="14">
        <v>0</v>
      </c>
    </row>
    <row r="94" spans="1:12">
      <c r="A94" t="s">
        <v>553</v>
      </c>
      <c r="B94" t="s">
        <v>554</v>
      </c>
      <c r="C94" t="s">
        <v>555</v>
      </c>
      <c r="D94" t="s">
        <v>556</v>
      </c>
      <c r="E94" t="s">
        <v>557</v>
      </c>
      <c r="F94" s="14">
        <v>0</v>
      </c>
      <c r="G94" s="14">
        <v>0</v>
      </c>
      <c r="H94" s="14">
        <v>0</v>
      </c>
      <c r="I94" t="s">
        <v>558</v>
      </c>
      <c r="J94" s="14">
        <v>500</v>
      </c>
      <c r="K94" s="14">
        <v>18935.95</v>
      </c>
      <c r="L94" s="14">
        <v>0</v>
      </c>
    </row>
    <row r="95" spans="1:12">
      <c r="A95" t="s">
        <v>559</v>
      </c>
      <c r="B95" t="s">
        <v>560</v>
      </c>
      <c r="C95" t="s">
        <v>561</v>
      </c>
      <c r="D95" t="s">
        <v>562</v>
      </c>
      <c r="E95" t="s">
        <v>563</v>
      </c>
      <c r="F95" s="14">
        <v>230900</v>
      </c>
      <c r="G95" s="14">
        <v>155131.69</v>
      </c>
      <c r="H95" s="14">
        <v>0</v>
      </c>
      <c r="I95" t="s">
        <v>564</v>
      </c>
      <c r="J95" s="14">
        <v>0</v>
      </c>
      <c r="K95" s="14">
        <v>6071.5</v>
      </c>
      <c r="L95" s="14">
        <v>0</v>
      </c>
    </row>
    <row r="96" spans="1:12">
      <c r="A96" t="s">
        <v>565</v>
      </c>
      <c r="B96" t="s">
        <v>566</v>
      </c>
      <c r="C96" t="s">
        <v>567</v>
      </c>
      <c r="D96" t="s">
        <v>568</v>
      </c>
      <c r="E96" t="s">
        <v>569</v>
      </c>
      <c r="F96" s="14">
        <v>0</v>
      </c>
      <c r="G96" s="14">
        <v>0</v>
      </c>
      <c r="H96" s="14">
        <v>0</v>
      </c>
      <c r="I96" t="s">
        <v>570</v>
      </c>
      <c r="J96" s="14">
        <v>10000</v>
      </c>
      <c r="K96" s="14">
        <v>9816.76</v>
      </c>
      <c r="L96" s="14">
        <v>0</v>
      </c>
    </row>
    <row r="97" spans="1:12">
      <c r="A97" t="s">
        <v>571</v>
      </c>
      <c r="B97" t="s">
        <v>572</v>
      </c>
      <c r="C97" t="s">
        <v>573</v>
      </c>
      <c r="D97" t="s">
        <v>574</v>
      </c>
      <c r="E97" t="s">
        <v>575</v>
      </c>
      <c r="F97" s="14">
        <v>0</v>
      </c>
      <c r="G97" s="14">
        <v>0</v>
      </c>
      <c r="H97" s="14">
        <v>0</v>
      </c>
      <c r="I97" t="s">
        <v>576</v>
      </c>
      <c r="J97" s="14">
        <v>155900</v>
      </c>
      <c r="K97" s="14">
        <v>123140.13</v>
      </c>
      <c r="L97" s="14">
        <v>0</v>
      </c>
    </row>
    <row r="98" spans="1:12">
      <c r="A98" t="s">
        <v>577</v>
      </c>
      <c r="B98" t="s">
        <v>578</v>
      </c>
      <c r="C98" t="s">
        <v>579</v>
      </c>
      <c r="D98" t="s">
        <v>580</v>
      </c>
      <c r="E98" t="s">
        <v>581</v>
      </c>
      <c r="F98" s="14">
        <v>0</v>
      </c>
      <c r="G98" s="14">
        <v>0</v>
      </c>
      <c r="H98" s="14">
        <v>0</v>
      </c>
      <c r="I98" t="s">
        <v>582</v>
      </c>
      <c r="J98" s="14">
        <v>65000</v>
      </c>
      <c r="K98" s="14">
        <v>16103.3</v>
      </c>
      <c r="L98" s="14">
        <v>0</v>
      </c>
    </row>
    <row r="99" spans="1:12">
      <c r="A99" t="s">
        <v>583</v>
      </c>
      <c r="B99" t="s">
        <v>584</v>
      </c>
      <c r="C99" t="s">
        <v>585</v>
      </c>
      <c r="D99" t="s">
        <v>586</v>
      </c>
      <c r="E99" t="s">
        <v>587</v>
      </c>
      <c r="F99" s="14">
        <v>38000</v>
      </c>
      <c r="G99" s="14">
        <v>73181.61</v>
      </c>
      <c r="H99" s="14">
        <v>0</v>
      </c>
      <c r="I99" t="s">
        <v>588</v>
      </c>
      <c r="J99" s="14">
        <v>0</v>
      </c>
      <c r="K99" s="14">
        <v>70</v>
      </c>
      <c r="L99" s="14">
        <v>0</v>
      </c>
    </row>
    <row r="100" spans="1:12">
      <c r="A100" t="s">
        <v>589</v>
      </c>
      <c r="B100" t="s">
        <v>590</v>
      </c>
      <c r="C100" t="s">
        <v>591</v>
      </c>
      <c r="D100" t="s">
        <v>592</v>
      </c>
      <c r="E100" t="s">
        <v>593</v>
      </c>
      <c r="F100" s="14">
        <v>0</v>
      </c>
      <c r="G100" s="14">
        <v>0</v>
      </c>
      <c r="H100" s="14">
        <v>0</v>
      </c>
      <c r="I100" t="s">
        <v>594</v>
      </c>
      <c r="J100" s="14">
        <v>28000</v>
      </c>
      <c r="K100" s="14">
        <v>62101.81</v>
      </c>
      <c r="L100" s="14">
        <v>0</v>
      </c>
    </row>
    <row r="101" spans="1:12">
      <c r="A101" t="s">
        <v>595</v>
      </c>
      <c r="B101" t="s">
        <v>596</v>
      </c>
      <c r="C101" t="s">
        <v>597</v>
      </c>
      <c r="D101" t="s">
        <v>598</v>
      </c>
      <c r="E101" t="s">
        <v>599</v>
      </c>
      <c r="F101" s="14">
        <v>0</v>
      </c>
      <c r="G101" s="14">
        <v>0</v>
      </c>
      <c r="H101" s="14">
        <v>0</v>
      </c>
      <c r="I101" t="s">
        <v>600</v>
      </c>
      <c r="J101" s="14">
        <v>10000</v>
      </c>
      <c r="K101" s="14">
        <v>11009.8</v>
      </c>
      <c r="L101" s="14">
        <v>0</v>
      </c>
    </row>
    <row r="102" spans="1:12">
      <c r="A102" t="s">
        <v>601</v>
      </c>
      <c r="B102" t="s">
        <v>602</v>
      </c>
      <c r="C102" t="s">
        <v>603</v>
      </c>
      <c r="D102" t="s">
        <v>604</v>
      </c>
      <c r="E102" t="s">
        <v>605</v>
      </c>
      <c r="F102" s="14">
        <v>18200</v>
      </c>
      <c r="G102" s="14">
        <v>11478.5</v>
      </c>
      <c r="H102" s="14">
        <v>0</v>
      </c>
      <c r="I102" t="s">
        <v>606</v>
      </c>
      <c r="J102" s="14">
        <v>15000</v>
      </c>
      <c r="K102" s="14">
        <v>11126</v>
      </c>
      <c r="L102" s="14">
        <v>0</v>
      </c>
    </row>
    <row r="103" spans="1:12">
      <c r="A103" t="s">
        <v>607</v>
      </c>
      <c r="B103" t="s">
        <v>608</v>
      </c>
      <c r="C103" t="s">
        <v>609</v>
      </c>
      <c r="D103" t="s">
        <v>610</v>
      </c>
      <c r="E103" t="s">
        <v>611</v>
      </c>
      <c r="F103" s="14">
        <v>0</v>
      </c>
      <c r="G103" s="14">
        <v>0</v>
      </c>
      <c r="H103" s="14">
        <v>0</v>
      </c>
      <c r="I103" t="s">
        <v>612</v>
      </c>
      <c r="J103" s="14">
        <v>3000</v>
      </c>
      <c r="K103" s="14">
        <v>0</v>
      </c>
      <c r="L103" s="14">
        <v>0</v>
      </c>
    </row>
    <row r="104" spans="1:12">
      <c r="A104" t="s">
        <v>613</v>
      </c>
      <c r="B104" t="s">
        <v>614</v>
      </c>
      <c r="C104" t="s">
        <v>615</v>
      </c>
      <c r="D104" t="s">
        <v>616</v>
      </c>
      <c r="E104" t="s">
        <v>617</v>
      </c>
      <c r="F104" s="14">
        <v>0</v>
      </c>
      <c r="G104" s="14">
        <v>0</v>
      </c>
      <c r="H104" s="14">
        <v>0</v>
      </c>
      <c r="I104" t="s">
        <v>618</v>
      </c>
      <c r="J104" s="14">
        <v>200</v>
      </c>
      <c r="K104" s="14">
        <v>352.5</v>
      </c>
      <c r="L104" s="14">
        <v>0</v>
      </c>
    </row>
    <row r="105" spans="1:12">
      <c r="A105" t="s">
        <v>619</v>
      </c>
      <c r="B105" t="s">
        <v>620</v>
      </c>
      <c r="C105" t="s">
        <v>621</v>
      </c>
      <c r="D105" t="s">
        <v>622</v>
      </c>
      <c r="E105" t="s">
        <v>623</v>
      </c>
      <c r="F105" s="14">
        <v>288000</v>
      </c>
      <c r="G105" s="14">
        <v>156373.43</v>
      </c>
      <c r="H105" s="14">
        <v>0</v>
      </c>
      <c r="I105" t="s">
        <v>624</v>
      </c>
      <c r="J105" s="14">
        <v>150000</v>
      </c>
      <c r="K105" s="14">
        <v>124751.23</v>
      </c>
      <c r="L105" s="14">
        <v>0</v>
      </c>
    </row>
    <row r="106" spans="1:12">
      <c r="A106" t="s">
        <v>625</v>
      </c>
      <c r="B106" t="s">
        <v>626</v>
      </c>
      <c r="C106" t="s">
        <v>627</v>
      </c>
      <c r="D106" t="s">
        <v>628</v>
      </c>
      <c r="E106" t="s">
        <v>629</v>
      </c>
      <c r="F106" s="14">
        <v>0</v>
      </c>
      <c r="G106" s="14">
        <v>0</v>
      </c>
      <c r="H106" s="14">
        <v>0</v>
      </c>
      <c r="I106" t="s">
        <v>630</v>
      </c>
      <c r="J106" s="14">
        <v>120000</v>
      </c>
      <c r="K106" s="14">
        <v>16296.74</v>
      </c>
      <c r="L106" s="14">
        <v>0</v>
      </c>
    </row>
    <row r="107" spans="1:12">
      <c r="A107" t="s">
        <v>631</v>
      </c>
      <c r="B107" t="s">
        <v>632</v>
      </c>
      <c r="C107" t="s">
        <v>633</v>
      </c>
      <c r="D107" t="s">
        <v>634</v>
      </c>
      <c r="E107" t="s">
        <v>635</v>
      </c>
      <c r="F107" s="14">
        <v>0</v>
      </c>
      <c r="G107" s="14">
        <v>0</v>
      </c>
      <c r="H107" s="14">
        <v>0</v>
      </c>
      <c r="I107" t="s">
        <v>636</v>
      </c>
      <c r="J107" s="14">
        <v>18000</v>
      </c>
      <c r="K107" s="14">
        <v>15325.46</v>
      </c>
      <c r="L107" s="14">
        <v>0</v>
      </c>
    </row>
    <row r="108" spans="1:12">
      <c r="A108" t="s">
        <v>637</v>
      </c>
      <c r="B108" t="s">
        <v>638</v>
      </c>
      <c r="C108" t="s">
        <v>639</v>
      </c>
      <c r="D108" t="s">
        <v>640</v>
      </c>
      <c r="E108" t="s">
        <v>641</v>
      </c>
      <c r="F108" s="14">
        <v>28550</v>
      </c>
      <c r="G108" s="14">
        <v>24130.33</v>
      </c>
      <c r="H108" s="14">
        <v>0</v>
      </c>
      <c r="I108" t="s">
        <v>642</v>
      </c>
      <c r="J108" s="14">
        <v>28000</v>
      </c>
      <c r="K108" s="14">
        <v>22034.57</v>
      </c>
      <c r="L108" s="14">
        <v>0</v>
      </c>
    </row>
    <row r="109" spans="1:12">
      <c r="A109" t="s">
        <v>643</v>
      </c>
      <c r="B109" t="s">
        <v>644</v>
      </c>
      <c r="C109" t="s">
        <v>645</v>
      </c>
      <c r="D109" t="s">
        <v>646</v>
      </c>
      <c r="E109" t="s">
        <v>647</v>
      </c>
      <c r="F109" s="14">
        <v>0</v>
      </c>
      <c r="G109" s="14">
        <v>0</v>
      </c>
      <c r="H109" s="14">
        <v>0</v>
      </c>
      <c r="I109" t="s">
        <v>648</v>
      </c>
      <c r="J109" s="14">
        <v>550</v>
      </c>
      <c r="K109" s="14">
        <v>2095.7600000000002</v>
      </c>
      <c r="L109" s="14">
        <v>0</v>
      </c>
    </row>
    <row r="110" spans="1:12">
      <c r="A110" t="s">
        <v>649</v>
      </c>
      <c r="B110" t="s">
        <v>650</v>
      </c>
      <c r="C110" t="s">
        <v>651</v>
      </c>
      <c r="D110" t="s">
        <v>652</v>
      </c>
      <c r="E110" t="s">
        <v>653</v>
      </c>
      <c r="F110" s="14">
        <v>12000</v>
      </c>
      <c r="G110" s="14">
        <v>16780.54</v>
      </c>
      <c r="H110" s="14">
        <v>0</v>
      </c>
      <c r="I110" t="s">
        <v>654</v>
      </c>
      <c r="J110" s="14">
        <v>12000</v>
      </c>
      <c r="K110" s="14">
        <v>14784.66</v>
      </c>
      <c r="L110" s="14">
        <v>0</v>
      </c>
    </row>
    <row r="111" spans="1:12">
      <c r="A111" t="s">
        <v>655</v>
      </c>
      <c r="B111" t="s">
        <v>656</v>
      </c>
      <c r="C111" t="s">
        <v>657</v>
      </c>
      <c r="D111" t="s">
        <v>658</v>
      </c>
      <c r="E111" t="s">
        <v>659</v>
      </c>
      <c r="F111" s="14">
        <v>0</v>
      </c>
      <c r="G111" s="14">
        <v>0</v>
      </c>
      <c r="H111" s="14">
        <v>0</v>
      </c>
      <c r="I111" t="s">
        <v>660</v>
      </c>
      <c r="J111" s="14">
        <v>0</v>
      </c>
      <c r="K111" s="14">
        <v>1812.54</v>
      </c>
      <c r="L111" s="14">
        <v>0</v>
      </c>
    </row>
    <row r="112" spans="1:12">
      <c r="A112" t="s">
        <v>661</v>
      </c>
      <c r="B112" t="s">
        <v>662</v>
      </c>
      <c r="C112" t="s">
        <v>663</v>
      </c>
      <c r="D112" t="s">
        <v>664</v>
      </c>
      <c r="E112" t="s">
        <v>665</v>
      </c>
      <c r="F112" s="14">
        <v>0</v>
      </c>
      <c r="G112" s="14">
        <v>0</v>
      </c>
      <c r="H112" s="14">
        <v>0</v>
      </c>
      <c r="I112" t="s">
        <v>666</v>
      </c>
      <c r="J112" s="14">
        <v>0</v>
      </c>
      <c r="K112" s="14">
        <v>183.34</v>
      </c>
      <c r="L112" s="14">
        <v>0</v>
      </c>
    </row>
    <row r="113" spans="1:12">
      <c r="A113" t="s">
        <v>667</v>
      </c>
      <c r="B113" t="s">
        <v>668</v>
      </c>
      <c r="C113" t="s">
        <v>669</v>
      </c>
      <c r="D113" t="s">
        <v>670</v>
      </c>
      <c r="E113" t="s">
        <v>671</v>
      </c>
      <c r="F113" s="14">
        <v>0</v>
      </c>
      <c r="G113" s="14">
        <v>111</v>
      </c>
      <c r="H113" s="14">
        <v>0</v>
      </c>
      <c r="I113" t="s">
        <v>672</v>
      </c>
      <c r="J113" s="14">
        <v>0</v>
      </c>
      <c r="K113" s="14">
        <v>111</v>
      </c>
      <c r="L113" s="14">
        <v>0</v>
      </c>
    </row>
    <row r="114" spans="1:12">
      <c r="A114" t="s">
        <v>673</v>
      </c>
      <c r="B114" t="s">
        <v>674</v>
      </c>
      <c r="C114" t="s">
        <v>675</v>
      </c>
      <c r="D114" t="s">
        <v>676</v>
      </c>
      <c r="E114" t="s">
        <v>677</v>
      </c>
      <c r="F114" s="14">
        <v>0</v>
      </c>
      <c r="G114" s="14">
        <v>299960</v>
      </c>
      <c r="H114" s="14">
        <v>0</v>
      </c>
      <c r="I114" t="s">
        <v>678</v>
      </c>
      <c r="J114" s="14">
        <v>0</v>
      </c>
      <c r="K114" s="14">
        <v>299960</v>
      </c>
      <c r="L114" s="14">
        <v>0</v>
      </c>
    </row>
    <row r="115" spans="1:12">
      <c r="A115" t="s">
        <v>679</v>
      </c>
      <c r="B115" t="s">
        <v>680</v>
      </c>
      <c r="C115" t="s">
        <v>681</v>
      </c>
      <c r="D115" t="s">
        <v>682</v>
      </c>
      <c r="E115" t="s">
        <v>683</v>
      </c>
      <c r="F115" s="14">
        <v>0</v>
      </c>
      <c r="G115" s="14">
        <v>11400</v>
      </c>
      <c r="H115" s="14">
        <v>0</v>
      </c>
      <c r="I115" t="s">
        <v>684</v>
      </c>
      <c r="J115" s="14">
        <v>0</v>
      </c>
      <c r="K115" s="14">
        <v>11400</v>
      </c>
      <c r="L115" s="14">
        <v>0</v>
      </c>
    </row>
    <row r="116" spans="1:12">
      <c r="A116" t="s">
        <v>685</v>
      </c>
      <c r="B116" t="s">
        <v>686</v>
      </c>
      <c r="C116" t="s">
        <v>687</v>
      </c>
      <c r="D116" t="s">
        <v>688</v>
      </c>
      <c r="E116" t="s">
        <v>689</v>
      </c>
      <c r="F116" s="14">
        <v>30000</v>
      </c>
      <c r="G116" s="14">
        <v>35661.25</v>
      </c>
      <c r="H116" s="14">
        <v>0</v>
      </c>
      <c r="I116" t="s">
        <v>690</v>
      </c>
      <c r="J116" s="14">
        <v>30000</v>
      </c>
      <c r="K116" s="14">
        <v>35661.25</v>
      </c>
      <c r="L116" s="14">
        <v>0</v>
      </c>
    </row>
    <row r="117" spans="1:12">
      <c r="A117" t="s">
        <v>691</v>
      </c>
      <c r="B117" t="s">
        <v>692</v>
      </c>
      <c r="C117" t="s">
        <v>693</v>
      </c>
      <c r="D117" t="s">
        <v>694</v>
      </c>
      <c r="E117" t="s">
        <v>695</v>
      </c>
      <c r="F117" s="14">
        <v>53000</v>
      </c>
      <c r="G117" s="14">
        <v>55300</v>
      </c>
      <c r="H117" s="14">
        <v>0</v>
      </c>
      <c r="I117" t="s">
        <v>696</v>
      </c>
      <c r="J117" s="14">
        <v>0</v>
      </c>
      <c r="K117" s="14">
        <v>1000</v>
      </c>
      <c r="L117" s="14">
        <v>0</v>
      </c>
    </row>
    <row r="118" spans="1:12">
      <c r="A118" t="s">
        <v>697</v>
      </c>
      <c r="B118" t="s">
        <v>698</v>
      </c>
      <c r="C118" t="s">
        <v>699</v>
      </c>
      <c r="D118" t="s">
        <v>700</v>
      </c>
      <c r="E118" t="s">
        <v>701</v>
      </c>
      <c r="F118" s="14">
        <v>0</v>
      </c>
      <c r="G118" s="14">
        <v>0</v>
      </c>
      <c r="H118" s="14">
        <v>0</v>
      </c>
      <c r="I118" t="s">
        <v>702</v>
      </c>
      <c r="J118" s="14">
        <v>27000</v>
      </c>
      <c r="K118" s="14">
        <v>42000</v>
      </c>
      <c r="L118" s="14">
        <v>0</v>
      </c>
    </row>
    <row r="119" spans="1:12">
      <c r="A119" t="s">
        <v>703</v>
      </c>
      <c r="B119" t="s">
        <v>704</v>
      </c>
      <c r="C119" t="s">
        <v>705</v>
      </c>
      <c r="D119" t="s">
        <v>706</v>
      </c>
      <c r="E119" t="s">
        <v>707</v>
      </c>
      <c r="F119" s="14">
        <v>0</v>
      </c>
      <c r="G119" s="14">
        <v>0</v>
      </c>
      <c r="H119" s="14">
        <v>0</v>
      </c>
      <c r="I119" t="s">
        <v>708</v>
      </c>
      <c r="J119" s="14">
        <v>25000</v>
      </c>
      <c r="K119" s="14">
        <v>12300</v>
      </c>
      <c r="L119" s="14">
        <v>0</v>
      </c>
    </row>
    <row r="120" spans="1:12">
      <c r="A120" t="s">
        <v>709</v>
      </c>
      <c r="B120" t="s">
        <v>710</v>
      </c>
      <c r="C120" t="s">
        <v>711</v>
      </c>
      <c r="D120" t="s">
        <v>712</v>
      </c>
      <c r="E120" t="s">
        <v>713</v>
      </c>
      <c r="F120" s="14">
        <v>0</v>
      </c>
      <c r="G120" s="14">
        <v>0</v>
      </c>
      <c r="H120" s="14">
        <v>0</v>
      </c>
      <c r="I120" t="s">
        <v>714</v>
      </c>
      <c r="J120" s="14">
        <v>1000</v>
      </c>
      <c r="K120" s="14">
        <v>0</v>
      </c>
      <c r="L120" s="14">
        <v>0</v>
      </c>
    </row>
    <row r="121" spans="1:12">
      <c r="A121" t="s">
        <v>715</v>
      </c>
      <c r="B121" t="s">
        <v>716</v>
      </c>
      <c r="C121" t="s">
        <v>717</v>
      </c>
      <c r="D121" t="s">
        <v>718</v>
      </c>
      <c r="E121" t="s">
        <v>719</v>
      </c>
      <c r="F121" s="14">
        <v>0</v>
      </c>
      <c r="G121" s="14">
        <v>125.66</v>
      </c>
      <c r="H121" s="14">
        <v>0</v>
      </c>
      <c r="I121" t="s">
        <v>720</v>
      </c>
      <c r="J121" s="14">
        <v>0</v>
      </c>
      <c r="K121" s="14">
        <v>125.66</v>
      </c>
      <c r="L121" s="14">
        <v>0</v>
      </c>
    </row>
    <row r="122" spans="1:12">
      <c r="A122" t="s">
        <v>721</v>
      </c>
      <c r="B122" t="s">
        <v>722</v>
      </c>
      <c r="C122" t="s">
        <v>723</v>
      </c>
      <c r="D122" t="s">
        <v>724</v>
      </c>
      <c r="E122" t="s">
        <v>725</v>
      </c>
      <c r="F122" s="14">
        <v>235000</v>
      </c>
      <c r="G122" s="14">
        <v>225911.86</v>
      </c>
      <c r="H122" s="14">
        <v>0</v>
      </c>
      <c r="I122" t="s">
        <v>726</v>
      </c>
      <c r="J122" s="14">
        <v>150000</v>
      </c>
      <c r="K122" s="14">
        <v>143568.75</v>
      </c>
      <c r="L122" s="14">
        <v>0</v>
      </c>
    </row>
    <row r="123" spans="1:12">
      <c r="A123" t="s">
        <v>727</v>
      </c>
      <c r="B123" t="s">
        <v>728</v>
      </c>
      <c r="C123" t="s">
        <v>729</v>
      </c>
      <c r="D123" t="s">
        <v>730</v>
      </c>
      <c r="E123" t="s">
        <v>731</v>
      </c>
      <c r="F123" s="14">
        <v>0</v>
      </c>
      <c r="G123" s="14">
        <v>0</v>
      </c>
      <c r="H123" s="14">
        <v>0</v>
      </c>
      <c r="I123" t="s">
        <v>732</v>
      </c>
      <c r="J123" s="14">
        <v>85000</v>
      </c>
      <c r="K123" s="14">
        <v>82343.11</v>
      </c>
      <c r="L123" s="14">
        <v>0</v>
      </c>
    </row>
    <row r="124" spans="1:12">
      <c r="A124" t="s">
        <v>733</v>
      </c>
      <c r="B124" t="s">
        <v>734</v>
      </c>
      <c r="C124" t="s">
        <v>735</v>
      </c>
      <c r="D124" t="s">
        <v>736</v>
      </c>
      <c r="E124" t="s">
        <v>737</v>
      </c>
      <c r="F124" s="14">
        <v>620000</v>
      </c>
      <c r="G124" s="14">
        <v>612266.86</v>
      </c>
      <c r="H124" s="14">
        <v>0</v>
      </c>
      <c r="I124" t="s">
        <v>738</v>
      </c>
      <c r="J124" s="14">
        <v>0</v>
      </c>
      <c r="K124" s="14">
        <v>5954.65</v>
      </c>
      <c r="L124" s="14">
        <v>0</v>
      </c>
    </row>
    <row r="125" spans="1:12">
      <c r="A125" t="s">
        <v>739</v>
      </c>
      <c r="B125" t="s">
        <v>740</v>
      </c>
      <c r="C125" t="s">
        <v>741</v>
      </c>
      <c r="D125" t="s">
        <v>742</v>
      </c>
      <c r="E125" t="s">
        <v>743</v>
      </c>
      <c r="F125" s="14">
        <v>0</v>
      </c>
      <c r="G125" s="14">
        <v>0</v>
      </c>
      <c r="H125" s="14">
        <v>0</v>
      </c>
      <c r="I125" t="s">
        <v>744</v>
      </c>
      <c r="J125" s="14">
        <v>520000</v>
      </c>
      <c r="K125" s="14">
        <v>557022.62</v>
      </c>
      <c r="L125" s="14">
        <v>0</v>
      </c>
    </row>
    <row r="126" spans="1:12">
      <c r="A126" t="s">
        <v>745</v>
      </c>
      <c r="B126" t="s">
        <v>746</v>
      </c>
      <c r="C126" t="s">
        <v>747</v>
      </c>
      <c r="D126" t="s">
        <v>748</v>
      </c>
      <c r="E126" t="s">
        <v>749</v>
      </c>
      <c r="F126" s="14">
        <v>0</v>
      </c>
      <c r="G126" s="14">
        <v>0</v>
      </c>
      <c r="H126" s="14">
        <v>0</v>
      </c>
      <c r="I126" t="s">
        <v>750</v>
      </c>
      <c r="J126" s="14">
        <v>15000</v>
      </c>
      <c r="K126" s="14">
        <v>14812.5</v>
      </c>
      <c r="L126" s="14">
        <v>0</v>
      </c>
    </row>
    <row r="127" spans="1:12">
      <c r="A127" t="s">
        <v>751</v>
      </c>
      <c r="B127" t="s">
        <v>752</v>
      </c>
      <c r="C127" t="s">
        <v>753</v>
      </c>
      <c r="D127" t="s">
        <v>754</v>
      </c>
      <c r="E127" t="s">
        <v>755</v>
      </c>
      <c r="F127" s="14">
        <v>0</v>
      </c>
      <c r="G127" s="14">
        <v>0</v>
      </c>
      <c r="H127" s="14">
        <v>0</v>
      </c>
      <c r="I127" t="s">
        <v>756</v>
      </c>
      <c r="J127" s="14">
        <v>45000</v>
      </c>
      <c r="K127" s="14">
        <v>0</v>
      </c>
      <c r="L127" s="14">
        <v>0</v>
      </c>
    </row>
    <row r="128" spans="1:12">
      <c r="A128" t="s">
        <v>757</v>
      </c>
      <c r="B128" t="s">
        <v>758</v>
      </c>
      <c r="C128" t="s">
        <v>759</v>
      </c>
      <c r="D128" t="s">
        <v>760</v>
      </c>
      <c r="E128" t="s">
        <v>761</v>
      </c>
      <c r="F128" s="14">
        <v>0</v>
      </c>
      <c r="G128" s="14">
        <v>0</v>
      </c>
      <c r="H128" s="14">
        <v>0</v>
      </c>
      <c r="I128" t="s">
        <v>762</v>
      </c>
      <c r="J128" s="14">
        <v>40000</v>
      </c>
      <c r="K128" s="14">
        <v>34477.089999999997</v>
      </c>
      <c r="L128" s="14">
        <v>0</v>
      </c>
    </row>
    <row r="129" spans="1:12">
      <c r="A129" t="s">
        <v>763</v>
      </c>
      <c r="B129" t="s">
        <v>764</v>
      </c>
      <c r="C129" t="s">
        <v>765</v>
      </c>
      <c r="D129" t="s">
        <v>766</v>
      </c>
      <c r="E129" t="s">
        <v>767</v>
      </c>
      <c r="F129" s="14">
        <v>25000</v>
      </c>
      <c r="G129" s="14">
        <v>21295.89</v>
      </c>
      <c r="H129" s="14">
        <v>0</v>
      </c>
      <c r="I129" t="s">
        <v>768</v>
      </c>
      <c r="J129" s="14">
        <v>15000</v>
      </c>
      <c r="K129" s="14">
        <v>12154.63</v>
      </c>
      <c r="L129" s="14">
        <v>0</v>
      </c>
    </row>
    <row r="130" spans="1:12">
      <c r="A130" t="s">
        <v>769</v>
      </c>
      <c r="B130" t="s">
        <v>770</v>
      </c>
      <c r="C130" t="s">
        <v>771</v>
      </c>
      <c r="D130" t="s">
        <v>772</v>
      </c>
      <c r="E130" t="s">
        <v>773</v>
      </c>
      <c r="F130" s="14">
        <v>0</v>
      </c>
      <c r="G130" s="14">
        <v>0</v>
      </c>
      <c r="H130" s="14">
        <v>0</v>
      </c>
      <c r="I130" t="s">
        <v>774</v>
      </c>
      <c r="J130" s="14">
        <v>10000</v>
      </c>
      <c r="K130" s="14">
        <v>9141.26</v>
      </c>
      <c r="L130" s="14">
        <v>0</v>
      </c>
    </row>
    <row r="131" spans="1:12">
      <c r="A131" t="s">
        <v>775</v>
      </c>
      <c r="B131" t="s">
        <v>776</v>
      </c>
      <c r="C131" t="s">
        <v>777</v>
      </c>
      <c r="D131" t="s">
        <v>778</v>
      </c>
      <c r="E131" t="s">
        <v>779</v>
      </c>
      <c r="F131" s="14">
        <v>38000</v>
      </c>
      <c r="G131" s="14">
        <v>30927.32</v>
      </c>
      <c r="H131" s="14">
        <v>0</v>
      </c>
      <c r="I131" t="s">
        <v>780</v>
      </c>
      <c r="J131" s="14">
        <v>30000</v>
      </c>
      <c r="K131" s="14">
        <v>29466.880000000001</v>
      </c>
      <c r="L131" s="14">
        <v>0</v>
      </c>
    </row>
    <row r="132" spans="1:12">
      <c r="A132" t="s">
        <v>781</v>
      </c>
      <c r="B132" t="s">
        <v>782</v>
      </c>
      <c r="C132" t="s">
        <v>783</v>
      </c>
      <c r="D132" t="s">
        <v>784</v>
      </c>
      <c r="E132" t="s">
        <v>785</v>
      </c>
      <c r="F132" s="14">
        <v>0</v>
      </c>
      <c r="G132" s="14">
        <v>0</v>
      </c>
      <c r="H132" s="14">
        <v>0</v>
      </c>
      <c r="I132" t="s">
        <v>786</v>
      </c>
      <c r="J132" s="14">
        <v>8000</v>
      </c>
      <c r="K132" s="14">
        <v>1460.44</v>
      </c>
      <c r="L132" s="14">
        <v>0</v>
      </c>
    </row>
    <row r="133" spans="1:12">
      <c r="A133" t="s">
        <v>787</v>
      </c>
      <c r="B133" t="s">
        <v>788</v>
      </c>
      <c r="C133" t="s">
        <v>789</v>
      </c>
      <c r="D133" t="s">
        <v>790</v>
      </c>
      <c r="E133" t="s">
        <v>791</v>
      </c>
      <c r="F133" s="14">
        <v>300000</v>
      </c>
      <c r="G133" s="14">
        <v>379950.03</v>
      </c>
      <c r="H133" s="14">
        <v>0</v>
      </c>
      <c r="I133" t="s">
        <v>792</v>
      </c>
      <c r="J133" s="14">
        <v>300000</v>
      </c>
      <c r="K133" s="14">
        <v>253844.97</v>
      </c>
      <c r="L133" s="14">
        <v>0</v>
      </c>
    </row>
    <row r="134" spans="1:12">
      <c r="A134" t="s">
        <v>793</v>
      </c>
      <c r="B134" t="s">
        <v>794</v>
      </c>
      <c r="C134" t="s">
        <v>795</v>
      </c>
      <c r="D134" t="s">
        <v>796</v>
      </c>
      <c r="E134" t="s">
        <v>797</v>
      </c>
      <c r="F134" s="14">
        <v>0</v>
      </c>
      <c r="G134" s="14">
        <v>0</v>
      </c>
      <c r="H134" s="14">
        <v>0</v>
      </c>
      <c r="I134" t="s">
        <v>798</v>
      </c>
      <c r="J134" s="14">
        <v>0</v>
      </c>
      <c r="K134" s="14">
        <v>126105.06</v>
      </c>
      <c r="L134" s="14">
        <v>0</v>
      </c>
    </row>
    <row r="135" spans="1:12">
      <c r="A135" t="s">
        <v>799</v>
      </c>
      <c r="B135" t="s">
        <v>800</v>
      </c>
      <c r="C135" t="s">
        <v>801</v>
      </c>
      <c r="D135" t="s">
        <v>802</v>
      </c>
      <c r="E135" t="s">
        <v>803</v>
      </c>
      <c r="F135" s="14">
        <v>60000</v>
      </c>
      <c r="G135" s="14">
        <v>53413.38</v>
      </c>
      <c r="H135" s="14">
        <v>0</v>
      </c>
      <c r="I135" t="s">
        <v>804</v>
      </c>
      <c r="J135" s="14">
        <v>60000</v>
      </c>
      <c r="K135" s="14">
        <v>53413.38</v>
      </c>
      <c r="L135" s="14">
        <v>0</v>
      </c>
    </row>
    <row r="136" spans="1:12">
      <c r="A136" t="s">
        <v>805</v>
      </c>
      <c r="B136" t="s">
        <v>806</v>
      </c>
      <c r="C136" t="s">
        <v>807</v>
      </c>
      <c r="D136" t="s">
        <v>808</v>
      </c>
      <c r="E136" t="s">
        <v>809</v>
      </c>
      <c r="F136" s="14">
        <v>133000</v>
      </c>
      <c r="G136" s="14">
        <v>0</v>
      </c>
      <c r="H136" s="14">
        <v>0</v>
      </c>
      <c r="I136" t="s">
        <v>810</v>
      </c>
      <c r="J136" s="14">
        <v>125000</v>
      </c>
      <c r="K136" s="14">
        <v>0</v>
      </c>
      <c r="L136" s="14">
        <v>0</v>
      </c>
    </row>
    <row r="137" spans="1:12">
      <c r="A137" t="s">
        <v>811</v>
      </c>
      <c r="B137" t="s">
        <v>812</v>
      </c>
      <c r="C137" t="s">
        <v>813</v>
      </c>
      <c r="D137" t="s">
        <v>814</v>
      </c>
      <c r="E137" t="s">
        <v>815</v>
      </c>
      <c r="F137" s="14">
        <v>0</v>
      </c>
      <c r="G137" s="14">
        <v>0</v>
      </c>
      <c r="H137" s="14">
        <v>0</v>
      </c>
      <c r="I137" t="s">
        <v>816</v>
      </c>
      <c r="J137" s="14">
        <v>8000</v>
      </c>
      <c r="K137" s="14">
        <v>0</v>
      </c>
      <c r="L137" s="14">
        <v>0</v>
      </c>
    </row>
    <row r="138" spans="1:12">
      <c r="A138" t="s">
        <v>817</v>
      </c>
      <c r="B138" t="s">
        <v>818</v>
      </c>
      <c r="C138" t="s">
        <v>819</v>
      </c>
      <c r="D138" t="s">
        <v>820</v>
      </c>
      <c r="E138" t="s">
        <v>821</v>
      </c>
      <c r="F138" s="14">
        <v>18000</v>
      </c>
      <c r="G138" s="14">
        <v>17525</v>
      </c>
      <c r="H138" s="14">
        <v>0</v>
      </c>
      <c r="I138" t="s">
        <v>822</v>
      </c>
      <c r="J138" s="14">
        <v>18000</v>
      </c>
      <c r="K138" s="14">
        <v>17525</v>
      </c>
      <c r="L138" s="14">
        <v>0</v>
      </c>
    </row>
    <row r="139" spans="1:12">
      <c r="A139" t="s">
        <v>823</v>
      </c>
      <c r="B139" t="s">
        <v>824</v>
      </c>
      <c r="C139" t="s">
        <v>825</v>
      </c>
      <c r="D139" t="s">
        <v>826</v>
      </c>
      <c r="E139" t="s">
        <v>827</v>
      </c>
      <c r="F139" s="14">
        <v>48900</v>
      </c>
      <c r="G139" s="14">
        <v>56426.73</v>
      </c>
      <c r="H139" s="14">
        <v>0</v>
      </c>
      <c r="I139" t="s">
        <v>828</v>
      </c>
      <c r="J139" s="14">
        <v>0</v>
      </c>
      <c r="K139" s="14">
        <v>9168.2000000000007</v>
      </c>
      <c r="L139" s="14">
        <v>0</v>
      </c>
    </row>
    <row r="140" spans="1:12">
      <c r="A140" t="s">
        <v>829</v>
      </c>
      <c r="B140" t="s">
        <v>830</v>
      </c>
      <c r="C140" t="s">
        <v>831</v>
      </c>
      <c r="D140" t="s">
        <v>832</v>
      </c>
      <c r="E140" t="s">
        <v>833</v>
      </c>
      <c r="F140" s="14">
        <v>0</v>
      </c>
      <c r="G140" s="14">
        <v>0</v>
      </c>
      <c r="H140" s="14">
        <v>0</v>
      </c>
      <c r="I140" t="s">
        <v>834</v>
      </c>
      <c r="J140" s="14">
        <v>40000</v>
      </c>
      <c r="K140" s="14">
        <v>46838.53</v>
      </c>
      <c r="L140" s="14">
        <v>0</v>
      </c>
    </row>
    <row r="141" spans="1:12">
      <c r="A141" t="s">
        <v>835</v>
      </c>
      <c r="B141" t="s">
        <v>836</v>
      </c>
      <c r="C141" t="s">
        <v>837</v>
      </c>
      <c r="D141" t="s">
        <v>838</v>
      </c>
      <c r="E141" t="s">
        <v>839</v>
      </c>
      <c r="F141" s="14">
        <v>0</v>
      </c>
      <c r="G141" s="14">
        <v>0</v>
      </c>
      <c r="H141" s="14">
        <v>0</v>
      </c>
      <c r="I141" t="s">
        <v>840</v>
      </c>
      <c r="J141" s="14">
        <v>4000</v>
      </c>
      <c r="K141" s="14">
        <v>0</v>
      </c>
      <c r="L141" s="14">
        <v>0</v>
      </c>
    </row>
    <row r="142" spans="1:12">
      <c r="A142" t="s">
        <v>841</v>
      </c>
      <c r="B142" t="s">
        <v>842</v>
      </c>
      <c r="C142" t="s">
        <v>843</v>
      </c>
      <c r="D142" t="s">
        <v>844</v>
      </c>
      <c r="E142" t="s">
        <v>845</v>
      </c>
      <c r="F142" s="14">
        <v>0</v>
      </c>
      <c r="G142" s="14">
        <v>0</v>
      </c>
      <c r="H142" s="14">
        <v>0</v>
      </c>
      <c r="I142" t="s">
        <v>846</v>
      </c>
      <c r="J142" s="14">
        <v>4900</v>
      </c>
      <c r="K142" s="14">
        <v>420</v>
      </c>
      <c r="L142" s="14">
        <v>0</v>
      </c>
    </row>
    <row r="143" spans="1:12">
      <c r="A143" t="s">
        <v>847</v>
      </c>
      <c r="B143" t="s">
        <v>848</v>
      </c>
      <c r="C143" t="s">
        <v>849</v>
      </c>
      <c r="D143" t="s">
        <v>850</v>
      </c>
      <c r="E143" t="s">
        <v>851</v>
      </c>
      <c r="F143" s="14">
        <v>0</v>
      </c>
      <c r="G143" s="14">
        <v>15000</v>
      </c>
      <c r="H143" s="14">
        <v>0</v>
      </c>
      <c r="I143" t="s">
        <v>852</v>
      </c>
      <c r="J143" s="14">
        <v>0</v>
      </c>
      <c r="K143" s="14">
        <v>2750</v>
      </c>
      <c r="L143" s="14">
        <v>0</v>
      </c>
    </row>
    <row r="144" spans="1:12">
      <c r="A144" t="s">
        <v>853</v>
      </c>
      <c r="B144" t="s">
        <v>854</v>
      </c>
      <c r="C144" t="s">
        <v>855</v>
      </c>
      <c r="D144" t="s">
        <v>856</v>
      </c>
      <c r="E144" t="s">
        <v>857</v>
      </c>
      <c r="F144" s="14">
        <v>0</v>
      </c>
      <c r="G144" s="14">
        <v>0</v>
      </c>
      <c r="H144" s="14">
        <v>0</v>
      </c>
      <c r="I144" t="s">
        <v>858</v>
      </c>
      <c r="J144" s="14">
        <v>0</v>
      </c>
      <c r="K144" s="14">
        <v>12250</v>
      </c>
      <c r="L144" s="14">
        <v>0</v>
      </c>
    </row>
    <row r="145" spans="1:12">
      <c r="A145" t="s">
        <v>859</v>
      </c>
      <c r="B145" t="s">
        <v>860</v>
      </c>
      <c r="C145" t="s">
        <v>861</v>
      </c>
      <c r="D145" t="s">
        <v>862</v>
      </c>
      <c r="E145" t="s">
        <v>863</v>
      </c>
      <c r="F145" s="14">
        <v>1435000</v>
      </c>
      <c r="G145" s="14">
        <v>1434365.27</v>
      </c>
      <c r="H145" s="14">
        <v>0</v>
      </c>
      <c r="I145" t="s">
        <v>864</v>
      </c>
      <c r="J145" s="14">
        <v>1435000</v>
      </c>
      <c r="K145" s="14">
        <v>1434365.27</v>
      </c>
      <c r="L145" s="14">
        <v>0</v>
      </c>
    </row>
    <row r="146" spans="1:12">
      <c r="A146" t="s">
        <v>865</v>
      </c>
      <c r="B146" t="s">
        <v>866</v>
      </c>
      <c r="C146" t="s">
        <v>867</v>
      </c>
      <c r="D146" t="s">
        <v>868</v>
      </c>
      <c r="E146" t="s">
        <v>869</v>
      </c>
      <c r="F146" s="14">
        <v>223000</v>
      </c>
      <c r="G146" s="14">
        <v>222326.61</v>
      </c>
      <c r="H146" s="14">
        <v>0</v>
      </c>
      <c r="I146" t="s">
        <v>870</v>
      </c>
      <c r="J146" s="14">
        <v>223000</v>
      </c>
      <c r="K146" s="14">
        <v>222326.61</v>
      </c>
      <c r="L146" s="14">
        <v>0</v>
      </c>
    </row>
    <row r="147" spans="1:12">
      <c r="A147" t="s">
        <v>871</v>
      </c>
      <c r="B147" t="s">
        <v>872</v>
      </c>
      <c r="C147" t="s">
        <v>873</v>
      </c>
      <c r="D147" t="s">
        <v>874</v>
      </c>
      <c r="E147" t="s">
        <v>875</v>
      </c>
      <c r="F147" s="14">
        <v>24000</v>
      </c>
      <c r="G147" s="14">
        <v>24384.16</v>
      </c>
      <c r="H147" s="14">
        <v>0</v>
      </c>
      <c r="I147" t="s">
        <v>876</v>
      </c>
      <c r="J147" s="14">
        <v>24000</v>
      </c>
      <c r="K147" s="14">
        <v>24384.16</v>
      </c>
      <c r="L147" s="14">
        <v>0</v>
      </c>
    </row>
    <row r="148" spans="1:12">
      <c r="A148" t="s">
        <v>877</v>
      </c>
      <c r="B148" t="s">
        <v>878</v>
      </c>
      <c r="C148" t="s">
        <v>879</v>
      </c>
      <c r="D148" t="s">
        <v>880</v>
      </c>
      <c r="E148" t="s">
        <v>881</v>
      </c>
      <c r="F148" s="14">
        <v>26000</v>
      </c>
      <c r="G148" s="14">
        <v>32659.91</v>
      </c>
      <c r="H148" s="14">
        <v>0</v>
      </c>
      <c r="I148" t="s">
        <v>882</v>
      </c>
      <c r="J148" s="14">
        <v>26000</v>
      </c>
      <c r="K148" s="14">
        <v>32659.91</v>
      </c>
      <c r="L148" s="14">
        <v>0</v>
      </c>
    </row>
    <row r="149" spans="1:12">
      <c r="A149" t="s">
        <v>883</v>
      </c>
      <c r="B149" t="s">
        <v>884</v>
      </c>
      <c r="C149" t="s">
        <v>885</v>
      </c>
      <c r="D149" t="s">
        <v>886</v>
      </c>
      <c r="E149" t="s">
        <v>887</v>
      </c>
      <c r="F149" s="14">
        <v>35000</v>
      </c>
      <c r="G149" s="14">
        <v>46247.5</v>
      </c>
      <c r="H149" s="14">
        <v>0</v>
      </c>
      <c r="I149" t="s">
        <v>888</v>
      </c>
      <c r="J149" s="14">
        <v>35000</v>
      </c>
      <c r="K149" s="14">
        <v>46247.5</v>
      </c>
      <c r="L149" s="14">
        <v>0</v>
      </c>
    </row>
    <row r="150" spans="1:12">
      <c r="A150" t="s">
        <v>889</v>
      </c>
      <c r="B150" t="s">
        <v>890</v>
      </c>
      <c r="C150" t="s">
        <v>891</v>
      </c>
      <c r="D150" t="s">
        <v>892</v>
      </c>
      <c r="E150" t="s">
        <v>893</v>
      </c>
      <c r="F150" s="14">
        <v>82000</v>
      </c>
      <c r="G150" s="14">
        <v>82935.649999999994</v>
      </c>
      <c r="H150" s="14">
        <v>0</v>
      </c>
      <c r="I150" t="s">
        <v>894</v>
      </c>
      <c r="J150" s="14">
        <v>82000</v>
      </c>
      <c r="K150" s="14">
        <v>82935.649999999994</v>
      </c>
      <c r="L150" s="14">
        <v>0</v>
      </c>
    </row>
    <row r="151" spans="1:12">
      <c r="A151" t="s">
        <v>895</v>
      </c>
      <c r="B151" t="s">
        <v>896</v>
      </c>
      <c r="C151" t="s">
        <v>897</v>
      </c>
      <c r="D151" t="s">
        <v>898</v>
      </c>
      <c r="E151" t="s">
        <v>899</v>
      </c>
      <c r="F151" s="14">
        <v>0</v>
      </c>
      <c r="G151" s="14">
        <v>642.83000000000004</v>
      </c>
      <c r="H151" s="14">
        <v>0</v>
      </c>
      <c r="I151" t="s">
        <v>900</v>
      </c>
      <c r="J151" s="14">
        <v>0</v>
      </c>
      <c r="K151" s="14">
        <v>642.83000000000004</v>
      </c>
      <c r="L151" s="14">
        <v>0</v>
      </c>
    </row>
    <row r="152" spans="1:12">
      <c r="A152" t="s">
        <v>901</v>
      </c>
      <c r="B152" t="s">
        <v>902</v>
      </c>
      <c r="C152" t="s">
        <v>903</v>
      </c>
      <c r="D152" t="s">
        <v>904</v>
      </c>
      <c r="E152" t="s">
        <v>905</v>
      </c>
      <c r="F152" s="14">
        <v>354209</v>
      </c>
      <c r="G152" s="14">
        <v>397719.01</v>
      </c>
      <c r="H152" s="14">
        <v>0</v>
      </c>
      <c r="I152" t="s">
        <v>906</v>
      </c>
      <c r="J152" s="14">
        <v>354209</v>
      </c>
      <c r="K152" s="14">
        <v>397719.01</v>
      </c>
      <c r="L152" s="14">
        <v>0</v>
      </c>
    </row>
    <row r="153" spans="1:12">
      <c r="A153" t="s">
        <v>907</v>
      </c>
      <c r="B153" t="s">
        <v>908</v>
      </c>
      <c r="C153" t="s">
        <v>909</v>
      </c>
      <c r="D153" t="s">
        <v>910</v>
      </c>
      <c r="E153" t="s">
        <v>911</v>
      </c>
      <c r="F153" s="14">
        <v>10000</v>
      </c>
      <c r="G153" s="14">
        <v>7325.63</v>
      </c>
      <c r="H153" s="14">
        <v>0</v>
      </c>
      <c r="I153" t="s">
        <v>912</v>
      </c>
      <c r="J153" s="14">
        <v>10000</v>
      </c>
      <c r="K153" s="14">
        <v>7325.63</v>
      </c>
      <c r="L153" s="14">
        <v>0</v>
      </c>
    </row>
    <row r="154" spans="1:12">
      <c r="A154" t="s">
        <v>913</v>
      </c>
      <c r="B154" t="s">
        <v>914</v>
      </c>
      <c r="C154" t="s">
        <v>915</v>
      </c>
      <c r="D154" t="s">
        <v>916</v>
      </c>
      <c r="E154" t="s">
        <v>917</v>
      </c>
      <c r="F154" s="14">
        <v>6000</v>
      </c>
      <c r="G154" s="14">
        <v>4407.88</v>
      </c>
      <c r="H154" s="14">
        <v>0</v>
      </c>
      <c r="I154" t="s">
        <v>918</v>
      </c>
      <c r="J154" s="14">
        <v>6000</v>
      </c>
      <c r="K154" s="14">
        <v>4407.88</v>
      </c>
      <c r="L154" s="14">
        <v>0</v>
      </c>
    </row>
    <row r="155" spans="1:12">
      <c r="A155" t="s">
        <v>919</v>
      </c>
      <c r="B155" t="s">
        <v>920</v>
      </c>
      <c r="C155" t="s">
        <v>921</v>
      </c>
      <c r="D155" t="s">
        <v>922</v>
      </c>
      <c r="E155" t="s">
        <v>923</v>
      </c>
      <c r="F155" s="14">
        <v>35000</v>
      </c>
      <c r="G155" s="14">
        <v>35198.480000000003</v>
      </c>
      <c r="H155" s="14">
        <v>0</v>
      </c>
      <c r="I155" t="s">
        <v>924</v>
      </c>
      <c r="J155" s="14">
        <v>35000</v>
      </c>
      <c r="K155" s="14">
        <v>35198.480000000003</v>
      </c>
      <c r="L155" s="14">
        <v>0</v>
      </c>
    </row>
    <row r="156" spans="1:12">
      <c r="A156" t="s">
        <v>925</v>
      </c>
      <c r="B156" t="s">
        <v>926</v>
      </c>
      <c r="C156" t="s">
        <v>927</v>
      </c>
      <c r="D156" t="s">
        <v>928</v>
      </c>
      <c r="E156" t="s">
        <v>929</v>
      </c>
      <c r="F156" s="14">
        <v>75000</v>
      </c>
      <c r="G156" s="14">
        <v>18755.009999999998</v>
      </c>
      <c r="H156" s="14">
        <v>0</v>
      </c>
      <c r="I156" t="s">
        <v>930</v>
      </c>
      <c r="J156" s="14">
        <v>75000</v>
      </c>
      <c r="K156" s="14">
        <v>18755.009999999998</v>
      </c>
      <c r="L156" s="14">
        <v>0</v>
      </c>
    </row>
    <row r="157" spans="1:12">
      <c r="A157" t="s">
        <v>931</v>
      </c>
      <c r="B157" t="s">
        <v>932</v>
      </c>
      <c r="C157" t="s">
        <v>933</v>
      </c>
      <c r="D157" t="s">
        <v>934</v>
      </c>
      <c r="E157" t="s">
        <v>935</v>
      </c>
      <c r="F157" s="14">
        <v>60000</v>
      </c>
      <c r="G157" s="14">
        <v>75251.87</v>
      </c>
      <c r="H157" s="14">
        <v>0</v>
      </c>
      <c r="I157" t="s">
        <v>936</v>
      </c>
      <c r="J157" s="14">
        <v>60000</v>
      </c>
      <c r="K157" s="14">
        <v>75251.87</v>
      </c>
      <c r="L157" s="14">
        <v>0</v>
      </c>
    </row>
    <row r="158" spans="1:12">
      <c r="A158" t="s">
        <v>937</v>
      </c>
      <c r="B158" t="s">
        <v>938</v>
      </c>
      <c r="C158" t="s">
        <v>939</v>
      </c>
      <c r="D158" t="s">
        <v>940</v>
      </c>
      <c r="E158" t="s">
        <v>941</v>
      </c>
      <c r="F158" s="14">
        <v>119791</v>
      </c>
      <c r="G158" s="14">
        <v>183354.2</v>
      </c>
      <c r="H158" s="14">
        <v>0</v>
      </c>
      <c r="I158" t="s">
        <v>942</v>
      </c>
      <c r="J158" s="14">
        <v>119791</v>
      </c>
      <c r="K158" s="14">
        <v>183354.2</v>
      </c>
      <c r="L158" s="14">
        <v>0</v>
      </c>
    </row>
    <row r="159" spans="1:12">
      <c r="A159" t="s">
        <v>943</v>
      </c>
      <c r="B159" t="s">
        <v>944</v>
      </c>
      <c r="C159" t="s">
        <v>945</v>
      </c>
      <c r="D159" t="s">
        <v>946</v>
      </c>
      <c r="E159" t="s">
        <v>947</v>
      </c>
      <c r="F159" s="14">
        <v>45000</v>
      </c>
      <c r="G159" s="14">
        <v>52119.5</v>
      </c>
      <c r="H159" s="14">
        <v>0</v>
      </c>
      <c r="I159" t="s">
        <v>948</v>
      </c>
      <c r="J159" s="14">
        <v>45000</v>
      </c>
      <c r="K159" s="14">
        <v>52119.5</v>
      </c>
      <c r="L159" s="14">
        <v>0</v>
      </c>
    </row>
    <row r="160" spans="1:12">
      <c r="A160" t="s">
        <v>949</v>
      </c>
      <c r="B160" t="s">
        <v>950</v>
      </c>
      <c r="C160" t="s">
        <v>951</v>
      </c>
      <c r="D160" t="s">
        <v>952</v>
      </c>
      <c r="E160" t="s">
        <v>953</v>
      </c>
      <c r="F160" s="14">
        <v>500000</v>
      </c>
      <c r="G160" s="14">
        <v>504470.13</v>
      </c>
      <c r="H160" s="14">
        <v>0</v>
      </c>
      <c r="I160" t="s">
        <v>954</v>
      </c>
      <c r="J160" s="14">
        <v>500000</v>
      </c>
      <c r="K160" s="14">
        <v>504470.13</v>
      </c>
      <c r="L160" s="14">
        <v>0</v>
      </c>
    </row>
    <row r="161" spans="1:12">
      <c r="A161" t="s">
        <v>955</v>
      </c>
      <c r="B161" t="s">
        <v>956</v>
      </c>
      <c r="C161" t="s">
        <v>957</v>
      </c>
      <c r="D161" t="s">
        <v>958</v>
      </c>
      <c r="E161" t="s">
        <v>959</v>
      </c>
      <c r="F161" s="14">
        <v>70000</v>
      </c>
      <c r="G161" s="14">
        <v>70204.59</v>
      </c>
      <c r="H161" s="14">
        <v>0</v>
      </c>
      <c r="I161" t="s">
        <v>960</v>
      </c>
      <c r="J161" s="14">
        <v>70000</v>
      </c>
      <c r="K161" s="14">
        <v>70204.59</v>
      </c>
      <c r="L161" s="14">
        <v>0</v>
      </c>
    </row>
    <row r="162" spans="1:12">
      <c r="A162" t="s">
        <v>961</v>
      </c>
      <c r="B162" t="s">
        <v>962</v>
      </c>
      <c r="C162" t="s">
        <v>963</v>
      </c>
      <c r="D162" t="s">
        <v>964</v>
      </c>
      <c r="E162" t="s">
        <v>965</v>
      </c>
      <c r="F162" s="14">
        <v>0</v>
      </c>
      <c r="G162" s="14">
        <v>450</v>
      </c>
      <c r="H162" s="14">
        <v>0</v>
      </c>
      <c r="I162" t="s">
        <v>966</v>
      </c>
      <c r="J162" s="14">
        <v>0</v>
      </c>
      <c r="K162" s="14">
        <v>450</v>
      </c>
      <c r="L162" s="14">
        <v>0</v>
      </c>
    </row>
    <row r="163" spans="1:12">
      <c r="A163" t="s">
        <v>967</v>
      </c>
      <c r="B163" t="s">
        <v>968</v>
      </c>
      <c r="C163" t="s">
        <v>969</v>
      </c>
      <c r="D163" t="s">
        <v>970</v>
      </c>
      <c r="E163" t="s">
        <v>971</v>
      </c>
      <c r="F163" s="14">
        <v>120000</v>
      </c>
      <c r="G163" s="14">
        <v>92747</v>
      </c>
      <c r="H163" s="14">
        <v>0</v>
      </c>
      <c r="I163" t="s">
        <v>972</v>
      </c>
      <c r="J163" s="14">
        <v>120000</v>
      </c>
      <c r="K163" s="14">
        <v>92747</v>
      </c>
      <c r="L163" s="14">
        <v>0</v>
      </c>
    </row>
    <row r="164" spans="1:12">
      <c r="A164" t="s">
        <v>973</v>
      </c>
      <c r="B164" t="s">
        <v>974</v>
      </c>
      <c r="C164" t="s">
        <v>975</v>
      </c>
      <c r="D164" t="s">
        <v>976</v>
      </c>
      <c r="E164" t="s">
        <v>977</v>
      </c>
      <c r="F164" s="14">
        <v>40000</v>
      </c>
      <c r="G164" s="14">
        <v>0</v>
      </c>
      <c r="H164" s="14">
        <v>0</v>
      </c>
      <c r="I164" t="s">
        <v>978</v>
      </c>
      <c r="J164" s="14">
        <v>40000</v>
      </c>
      <c r="K164" s="14">
        <v>0</v>
      </c>
      <c r="L164" s="14">
        <v>0</v>
      </c>
    </row>
    <row r="165" spans="1:12">
      <c r="A165" t="s">
        <v>979</v>
      </c>
      <c r="B165" t="s">
        <v>980</v>
      </c>
      <c r="C165" t="s">
        <v>981</v>
      </c>
      <c r="D165" t="s">
        <v>982</v>
      </c>
      <c r="E165" t="s">
        <v>983</v>
      </c>
      <c r="F165" s="14">
        <v>20000</v>
      </c>
      <c r="G165" s="14">
        <v>9756.5</v>
      </c>
      <c r="H165" s="14">
        <v>0</v>
      </c>
      <c r="I165" t="s">
        <v>984</v>
      </c>
      <c r="J165" s="14">
        <v>20000</v>
      </c>
      <c r="K165" s="14">
        <v>9756.5</v>
      </c>
      <c r="L165" s="14">
        <v>0</v>
      </c>
    </row>
    <row r="166" spans="1:12">
      <c r="A166" t="s">
        <v>985</v>
      </c>
      <c r="B166" t="s">
        <v>986</v>
      </c>
      <c r="C166" t="s">
        <v>987</v>
      </c>
      <c r="D166" t="s">
        <v>988</v>
      </c>
      <c r="E166" t="s">
        <v>989</v>
      </c>
      <c r="F166" s="14">
        <v>0</v>
      </c>
      <c r="G166" s="14">
        <v>362.5</v>
      </c>
      <c r="H166" s="14">
        <v>0</v>
      </c>
      <c r="I166" t="s">
        <v>990</v>
      </c>
      <c r="J166" s="14">
        <v>0</v>
      </c>
      <c r="K166" s="14">
        <v>362.5</v>
      </c>
      <c r="L166" s="14">
        <v>0</v>
      </c>
    </row>
    <row r="167" spans="1:12">
      <c r="A167" t="s">
        <v>991</v>
      </c>
      <c r="B167" t="s">
        <v>992</v>
      </c>
      <c r="C167" t="s">
        <v>993</v>
      </c>
      <c r="D167" t="s">
        <v>994</v>
      </c>
      <c r="E167" t="s">
        <v>995</v>
      </c>
      <c r="F167" s="14">
        <v>100000</v>
      </c>
      <c r="G167" s="14">
        <v>97993.5</v>
      </c>
      <c r="H167" s="14">
        <v>0</v>
      </c>
      <c r="I167" t="s">
        <v>996</v>
      </c>
      <c r="J167" s="14">
        <v>100000</v>
      </c>
      <c r="K167" s="14">
        <v>97993.5</v>
      </c>
      <c r="L167" s="14">
        <v>0</v>
      </c>
    </row>
    <row r="168" spans="1:12">
      <c r="A168" t="s">
        <v>997</v>
      </c>
      <c r="B168" t="s">
        <v>998</v>
      </c>
      <c r="C168" t="s">
        <v>999</v>
      </c>
      <c r="D168" t="s">
        <v>1000</v>
      </c>
      <c r="E168" t="s">
        <v>1001</v>
      </c>
      <c r="F168" s="14">
        <v>20000</v>
      </c>
      <c r="G168" s="14">
        <v>16903.27</v>
      </c>
      <c r="H168" s="14">
        <v>0</v>
      </c>
      <c r="I168" t="s">
        <v>1002</v>
      </c>
      <c r="J168" s="14">
        <v>20000</v>
      </c>
      <c r="K168" s="14">
        <v>16903.27</v>
      </c>
      <c r="L168" s="14">
        <v>0</v>
      </c>
    </row>
    <row r="169" spans="1:12">
      <c r="A169" t="s">
        <v>1003</v>
      </c>
      <c r="B169" t="s">
        <v>1004</v>
      </c>
      <c r="C169" t="s">
        <v>1005</v>
      </c>
      <c r="D169" t="s">
        <v>1006</v>
      </c>
      <c r="E169" t="s">
        <v>1007</v>
      </c>
      <c r="F169" s="14">
        <v>0</v>
      </c>
      <c r="G169" s="14">
        <v>137.27000000000001</v>
      </c>
      <c r="H169" s="14">
        <v>0</v>
      </c>
      <c r="I169" t="s">
        <v>1008</v>
      </c>
      <c r="J169" s="14">
        <v>0</v>
      </c>
      <c r="K169" s="14">
        <v>137.27000000000001</v>
      </c>
      <c r="L169" s="14">
        <v>0</v>
      </c>
    </row>
    <row r="170" spans="1:12">
      <c r="A170" t="s">
        <v>1009</v>
      </c>
      <c r="B170" t="s">
        <v>1010</v>
      </c>
      <c r="C170" t="s">
        <v>1011</v>
      </c>
      <c r="D170" t="s">
        <v>1012</v>
      </c>
      <c r="E170" t="s">
        <v>1013</v>
      </c>
      <c r="F170" s="14">
        <v>60342</v>
      </c>
      <c r="G170" s="14">
        <v>69747.48</v>
      </c>
      <c r="H170" s="14">
        <v>0</v>
      </c>
      <c r="I170" t="s">
        <v>1014</v>
      </c>
      <c r="J170" s="14">
        <v>0</v>
      </c>
      <c r="K170" s="14">
        <v>0</v>
      </c>
      <c r="L170" s="14">
        <v>0</v>
      </c>
    </row>
    <row r="171" spans="1:12">
      <c r="A171" t="s">
        <v>1015</v>
      </c>
      <c r="B171" t="s">
        <v>1016</v>
      </c>
      <c r="C171" t="s">
        <v>1017</v>
      </c>
      <c r="D171" t="s">
        <v>1018</v>
      </c>
      <c r="E171" t="s">
        <v>1019</v>
      </c>
      <c r="F171" s="14">
        <v>0</v>
      </c>
      <c r="G171" s="14">
        <v>0</v>
      </c>
      <c r="H171" s="14">
        <v>0</v>
      </c>
      <c r="I171" t="s">
        <v>1020</v>
      </c>
      <c r="J171" s="14">
        <v>42000</v>
      </c>
      <c r="K171" s="14">
        <v>41748.839999999997</v>
      </c>
      <c r="L171" s="14">
        <v>0</v>
      </c>
    </row>
    <row r="172" spans="1:12">
      <c r="A172" t="s">
        <v>1021</v>
      </c>
      <c r="B172" t="s">
        <v>1022</v>
      </c>
      <c r="C172" t="s">
        <v>1023</v>
      </c>
      <c r="D172" t="s">
        <v>1024</v>
      </c>
      <c r="E172" t="s">
        <v>1025</v>
      </c>
      <c r="F172" s="14">
        <v>0</v>
      </c>
      <c r="G172" s="14">
        <v>0</v>
      </c>
      <c r="H172" s="14">
        <v>0</v>
      </c>
      <c r="I172" t="s">
        <v>1026</v>
      </c>
      <c r="J172" s="14">
        <v>18342</v>
      </c>
      <c r="K172" s="14">
        <v>27998.639999999999</v>
      </c>
      <c r="L172" s="14">
        <v>0</v>
      </c>
    </row>
    <row r="173" spans="1:12">
      <c r="A173" t="s">
        <v>1027</v>
      </c>
      <c r="B173" t="s">
        <v>1028</v>
      </c>
      <c r="C173" t="s">
        <v>1029</v>
      </c>
      <c r="D173" t="s">
        <v>1030</v>
      </c>
      <c r="E173" t="s">
        <v>1031</v>
      </c>
      <c r="F173" s="14">
        <v>19359</v>
      </c>
      <c r="G173" s="14">
        <v>22492.11</v>
      </c>
      <c r="H173" s="14">
        <v>0</v>
      </c>
      <c r="I173" t="s">
        <v>1032</v>
      </c>
      <c r="J173" s="14">
        <v>4000</v>
      </c>
      <c r="K173" s="14">
        <v>3000</v>
      </c>
      <c r="L173" s="14">
        <v>0</v>
      </c>
    </row>
    <row r="174" spans="1:12">
      <c r="A174" t="s">
        <v>1033</v>
      </c>
      <c r="B174" t="s">
        <v>1034</v>
      </c>
      <c r="C174" t="s">
        <v>1035</v>
      </c>
      <c r="D174" t="s">
        <v>1036</v>
      </c>
      <c r="E174" t="s">
        <v>1037</v>
      </c>
      <c r="F174" s="14">
        <v>0</v>
      </c>
      <c r="G174" s="14">
        <v>0</v>
      </c>
      <c r="H174" s="14">
        <v>0</v>
      </c>
      <c r="I174" t="s">
        <v>1038</v>
      </c>
      <c r="J174" s="14">
        <v>15359</v>
      </c>
      <c r="K174" s="14">
        <v>19492.11</v>
      </c>
      <c r="L174" s="14">
        <v>0</v>
      </c>
    </row>
    <row r="175" spans="1:12">
      <c r="A175" t="s">
        <v>1039</v>
      </c>
      <c r="B175" t="s">
        <v>1040</v>
      </c>
      <c r="C175" t="s">
        <v>1041</v>
      </c>
      <c r="D175" t="s">
        <v>1042</v>
      </c>
      <c r="E175" t="s">
        <v>1043</v>
      </c>
      <c r="F175" s="14">
        <v>2403</v>
      </c>
      <c r="G175" s="14">
        <v>2116.54</v>
      </c>
      <c r="H175" s="14">
        <v>0</v>
      </c>
      <c r="I175" t="s">
        <v>1044</v>
      </c>
      <c r="J175" s="14">
        <v>403</v>
      </c>
      <c r="K175" s="14">
        <v>403.86</v>
      </c>
      <c r="L175" s="14">
        <v>0</v>
      </c>
    </row>
    <row r="176" spans="1:12">
      <c r="A176" t="s">
        <v>1045</v>
      </c>
      <c r="B176" t="s">
        <v>1046</v>
      </c>
      <c r="C176" t="s">
        <v>1047</v>
      </c>
      <c r="D176" t="s">
        <v>1048</v>
      </c>
      <c r="E176" t="s">
        <v>1049</v>
      </c>
      <c r="F176" s="14">
        <v>0</v>
      </c>
      <c r="G176" s="14">
        <v>0</v>
      </c>
      <c r="H176" s="14">
        <v>0</v>
      </c>
      <c r="I176" t="s">
        <v>1050</v>
      </c>
      <c r="J176" s="14">
        <v>2000</v>
      </c>
      <c r="K176" s="14">
        <v>1712.68</v>
      </c>
      <c r="L176" s="14">
        <v>0</v>
      </c>
    </row>
    <row r="177" spans="1:12">
      <c r="A177" t="s">
        <v>1051</v>
      </c>
      <c r="B177" t="s">
        <v>1052</v>
      </c>
      <c r="C177" t="s">
        <v>1053</v>
      </c>
      <c r="D177" t="s">
        <v>1054</v>
      </c>
      <c r="E177" t="s">
        <v>1055</v>
      </c>
      <c r="F177" s="14">
        <v>0</v>
      </c>
      <c r="G177" s="14">
        <v>18750</v>
      </c>
      <c r="H177" s="14">
        <v>0</v>
      </c>
      <c r="I177" t="s">
        <v>1056</v>
      </c>
      <c r="J177" s="14">
        <v>0</v>
      </c>
      <c r="K177" s="14">
        <v>18750</v>
      </c>
      <c r="L177" s="14">
        <v>0</v>
      </c>
    </row>
    <row r="178" spans="1:12">
      <c r="A178" t="s">
        <v>1057</v>
      </c>
      <c r="B178" t="s">
        <v>1058</v>
      </c>
      <c r="C178" t="s">
        <v>1059</v>
      </c>
      <c r="D178" t="s">
        <v>1060</v>
      </c>
      <c r="E178" t="s">
        <v>1061</v>
      </c>
      <c r="F178" s="14">
        <v>2548</v>
      </c>
      <c r="G178" s="14">
        <v>2548</v>
      </c>
      <c r="H178" s="14">
        <v>0</v>
      </c>
      <c r="I178" t="s">
        <v>1062</v>
      </c>
      <c r="J178" s="14">
        <v>2548</v>
      </c>
      <c r="K178" s="14">
        <v>2548</v>
      </c>
      <c r="L178" s="14">
        <v>0</v>
      </c>
    </row>
    <row r="179" spans="1:12">
      <c r="A179" t="s">
        <v>1063</v>
      </c>
      <c r="B179" t="s">
        <v>1064</v>
      </c>
      <c r="C179" t="s">
        <v>1065</v>
      </c>
      <c r="D179" t="s">
        <v>1066</v>
      </c>
      <c r="E179" t="s">
        <v>1067</v>
      </c>
      <c r="F179" s="14">
        <v>20476</v>
      </c>
      <c r="G179" s="14">
        <v>23564.49</v>
      </c>
      <c r="H179" s="14">
        <v>0</v>
      </c>
      <c r="I179" t="s">
        <v>1068</v>
      </c>
      <c r="J179" s="14">
        <v>7476</v>
      </c>
      <c r="K179" s="14">
        <v>10686.68</v>
      </c>
      <c r="L179" s="14">
        <v>0</v>
      </c>
    </row>
    <row r="180" spans="1:12">
      <c r="A180" t="s">
        <v>1069</v>
      </c>
      <c r="B180" t="s">
        <v>1070</v>
      </c>
      <c r="C180" t="s">
        <v>1071</v>
      </c>
      <c r="D180" t="s">
        <v>1072</v>
      </c>
      <c r="E180" t="s">
        <v>1073</v>
      </c>
      <c r="F180" s="14">
        <v>0</v>
      </c>
      <c r="G180" s="14">
        <v>0</v>
      </c>
      <c r="H180" s="14">
        <v>0</v>
      </c>
      <c r="I180" t="s">
        <v>1074</v>
      </c>
      <c r="J180" s="14">
        <v>10000</v>
      </c>
      <c r="K180" s="14">
        <v>10000</v>
      </c>
      <c r="L180" s="14">
        <v>0</v>
      </c>
    </row>
    <row r="181" spans="1:12">
      <c r="A181" t="s">
        <v>1075</v>
      </c>
      <c r="B181" t="s">
        <v>1076</v>
      </c>
      <c r="C181" t="s">
        <v>1077</v>
      </c>
      <c r="D181" t="s">
        <v>1078</v>
      </c>
      <c r="E181" t="s">
        <v>1079</v>
      </c>
      <c r="F181" s="14">
        <v>0</v>
      </c>
      <c r="G181" s="14">
        <v>0</v>
      </c>
      <c r="H181" s="14">
        <v>0</v>
      </c>
      <c r="I181" t="s">
        <v>1080</v>
      </c>
      <c r="J181" s="14">
        <v>3000</v>
      </c>
      <c r="K181" s="14">
        <v>2877.81</v>
      </c>
      <c r="L181" s="14">
        <v>0</v>
      </c>
    </row>
    <row r="182" spans="1:12">
      <c r="A182" t="s">
        <v>1081</v>
      </c>
      <c r="B182" t="s">
        <v>1082</v>
      </c>
      <c r="C182" t="s">
        <v>1083</v>
      </c>
      <c r="D182" t="s">
        <v>1084</v>
      </c>
      <c r="E182" t="s">
        <v>1085</v>
      </c>
      <c r="F182" s="14">
        <v>28412</v>
      </c>
      <c r="G182" s="14">
        <v>9412.5</v>
      </c>
      <c r="H182" s="14">
        <v>0</v>
      </c>
      <c r="I182" t="s">
        <v>1086</v>
      </c>
      <c r="J182" s="14">
        <v>9412</v>
      </c>
      <c r="K182" s="14">
        <v>9412.5</v>
      </c>
      <c r="L182" s="14">
        <v>0</v>
      </c>
    </row>
    <row r="183" spans="1:12">
      <c r="A183" t="s">
        <v>1087</v>
      </c>
      <c r="B183" t="s">
        <v>1088</v>
      </c>
      <c r="C183" t="s">
        <v>1089</v>
      </c>
      <c r="D183" t="s">
        <v>1090</v>
      </c>
      <c r="E183" t="s">
        <v>1091</v>
      </c>
      <c r="F183" s="14">
        <v>0</v>
      </c>
      <c r="G183" s="14">
        <v>0</v>
      </c>
      <c r="H183" s="14">
        <v>0</v>
      </c>
      <c r="I183" t="s">
        <v>1092</v>
      </c>
      <c r="J183" s="14">
        <v>19000</v>
      </c>
      <c r="K183" s="14">
        <v>0</v>
      </c>
      <c r="L183" s="14">
        <v>0</v>
      </c>
    </row>
    <row r="184" spans="1:12">
      <c r="A184" t="s">
        <v>1093</v>
      </c>
      <c r="B184" t="s">
        <v>1094</v>
      </c>
      <c r="C184" t="s">
        <v>1095</v>
      </c>
      <c r="D184" t="s">
        <v>1096</v>
      </c>
      <c r="E184" t="s">
        <v>1097</v>
      </c>
      <c r="F184" s="14">
        <v>0</v>
      </c>
      <c r="G184" s="14">
        <v>190</v>
      </c>
      <c r="H184" s="14">
        <v>0</v>
      </c>
      <c r="I184" t="s">
        <v>1098</v>
      </c>
      <c r="J184" s="14">
        <v>0</v>
      </c>
      <c r="K184" s="14">
        <v>190</v>
      </c>
      <c r="L184" s="14">
        <v>0</v>
      </c>
    </row>
    <row r="185" spans="1:12">
      <c r="A185" t="s">
        <v>1099</v>
      </c>
      <c r="B185" t="s">
        <v>1100</v>
      </c>
      <c r="C185" t="s">
        <v>1101</v>
      </c>
      <c r="D185" t="s">
        <v>1102</v>
      </c>
      <c r="E185" t="s">
        <v>1103</v>
      </c>
      <c r="F185" s="14">
        <v>1500</v>
      </c>
      <c r="G185" s="14">
        <v>255</v>
      </c>
      <c r="H185" s="14">
        <v>0</v>
      </c>
      <c r="I185" t="s">
        <v>1104</v>
      </c>
      <c r="J185" s="14">
        <v>1500</v>
      </c>
      <c r="K185" s="14">
        <v>255</v>
      </c>
      <c r="L185" s="14">
        <v>0</v>
      </c>
    </row>
    <row r="186" spans="1:12">
      <c r="A186" t="s">
        <v>1105</v>
      </c>
      <c r="B186" t="s">
        <v>1106</v>
      </c>
      <c r="C186" t="s">
        <v>1107</v>
      </c>
      <c r="D186" t="s">
        <v>1108</v>
      </c>
      <c r="E186" t="s">
        <v>1109</v>
      </c>
      <c r="F186" s="14">
        <v>1000</v>
      </c>
      <c r="G186" s="14">
        <v>347.54</v>
      </c>
      <c r="H186" s="14">
        <v>0</v>
      </c>
      <c r="I186" t="s">
        <v>1110</v>
      </c>
      <c r="J186" s="14">
        <v>1000</v>
      </c>
      <c r="K186" s="14">
        <v>347.54</v>
      </c>
      <c r="L186" s="14">
        <v>0</v>
      </c>
    </row>
    <row r="187" spans="1:12">
      <c r="A187" t="s">
        <v>1111</v>
      </c>
      <c r="B187" t="s">
        <v>1112</v>
      </c>
      <c r="C187" t="s">
        <v>1113</v>
      </c>
      <c r="D187" t="s">
        <v>1114</v>
      </c>
      <c r="E187" t="s">
        <v>1115</v>
      </c>
      <c r="F187" s="14">
        <v>130</v>
      </c>
      <c r="G187" s="14">
        <v>130</v>
      </c>
      <c r="H187" s="14">
        <v>0</v>
      </c>
      <c r="I187" t="s">
        <v>1116</v>
      </c>
      <c r="J187" s="14">
        <v>130</v>
      </c>
      <c r="K187" s="14">
        <v>130</v>
      </c>
      <c r="L187" s="14">
        <v>0</v>
      </c>
    </row>
    <row r="188" spans="1:12">
      <c r="A188" t="s">
        <v>1117</v>
      </c>
      <c r="B188" t="s">
        <v>1118</v>
      </c>
      <c r="C188" t="s">
        <v>1119</v>
      </c>
      <c r="D188" t="s">
        <v>1120</v>
      </c>
      <c r="E188" t="s">
        <v>1121</v>
      </c>
      <c r="F188" s="14">
        <v>0</v>
      </c>
      <c r="G188" s="14">
        <v>4.1500000000000004</v>
      </c>
      <c r="H188" s="14">
        <v>0</v>
      </c>
      <c r="I188" t="s">
        <v>1122</v>
      </c>
      <c r="J188" s="14">
        <v>0</v>
      </c>
      <c r="K188" s="14">
        <v>4.1500000000000004</v>
      </c>
      <c r="L188" s="14">
        <v>0</v>
      </c>
    </row>
    <row r="189" spans="1:12">
      <c r="A189" t="s">
        <v>1123</v>
      </c>
      <c r="B189" t="s">
        <v>1124</v>
      </c>
      <c r="C189" t="s">
        <v>1125</v>
      </c>
      <c r="D189" t="s">
        <v>1126</v>
      </c>
      <c r="E189" t="s">
        <v>1127</v>
      </c>
      <c r="F189" s="14">
        <v>62121</v>
      </c>
      <c r="G189" s="14">
        <v>118316.91</v>
      </c>
      <c r="H189" s="14">
        <v>0</v>
      </c>
      <c r="I189" t="s">
        <v>1128</v>
      </c>
      <c r="J189" s="14">
        <v>37121</v>
      </c>
      <c r="K189" s="14">
        <v>79486.16</v>
      </c>
      <c r="L189" s="14">
        <v>0</v>
      </c>
    </row>
    <row r="190" spans="1:12">
      <c r="A190" t="s">
        <v>1129</v>
      </c>
      <c r="B190" t="s">
        <v>1130</v>
      </c>
      <c r="C190" t="s">
        <v>1131</v>
      </c>
      <c r="D190" t="s">
        <v>1132</v>
      </c>
      <c r="E190" t="s">
        <v>1133</v>
      </c>
      <c r="F190" s="14">
        <v>0</v>
      </c>
      <c r="G190" s="14">
        <v>0</v>
      </c>
      <c r="H190" s="14">
        <v>0</v>
      </c>
      <c r="I190" t="s">
        <v>1134</v>
      </c>
      <c r="J190" s="14">
        <v>25000</v>
      </c>
      <c r="K190" s="14">
        <v>38830.75</v>
      </c>
      <c r="L190" s="14">
        <v>0</v>
      </c>
    </row>
    <row r="191" spans="1:12">
      <c r="A191" t="s">
        <v>1135</v>
      </c>
      <c r="B191" t="s">
        <v>1136</v>
      </c>
      <c r="C191" t="s">
        <v>1137</v>
      </c>
      <c r="D191" t="s">
        <v>1138</v>
      </c>
      <c r="E191" t="s">
        <v>1139</v>
      </c>
      <c r="F191" s="14">
        <v>89209</v>
      </c>
      <c r="G191" s="14">
        <v>0</v>
      </c>
      <c r="H191" s="14">
        <v>0</v>
      </c>
      <c r="I191" t="s">
        <v>1140</v>
      </c>
      <c r="J191" s="14">
        <v>89209</v>
      </c>
      <c r="K191" s="14">
        <v>0</v>
      </c>
      <c r="L191" s="14">
        <v>0</v>
      </c>
    </row>
    <row r="192" spans="1:12">
      <c r="A192" t="s">
        <v>1141</v>
      </c>
      <c r="B192" t="s">
        <v>1142</v>
      </c>
      <c r="C192" t="s">
        <v>1143</v>
      </c>
      <c r="D192" t="s">
        <v>1144</v>
      </c>
      <c r="E192" t="s">
        <v>1145</v>
      </c>
      <c r="F192" s="14">
        <v>1500</v>
      </c>
      <c r="G192" s="14">
        <v>0</v>
      </c>
      <c r="H192" s="14">
        <v>0</v>
      </c>
      <c r="I192" t="s">
        <v>1146</v>
      </c>
      <c r="J192" s="14">
        <v>1500</v>
      </c>
      <c r="K192" s="14">
        <v>0</v>
      </c>
      <c r="L192" s="14">
        <v>0</v>
      </c>
    </row>
    <row r="193" spans="1:12">
      <c r="A193" t="s">
        <v>1147</v>
      </c>
      <c r="B193" t="s">
        <v>1148</v>
      </c>
      <c r="C193" t="s">
        <v>1149</v>
      </c>
      <c r="D193" t="s">
        <v>1150</v>
      </c>
      <c r="E193" t="s">
        <v>1151</v>
      </c>
      <c r="F193" s="14">
        <v>18000</v>
      </c>
      <c r="G193" s="14">
        <v>17954.89</v>
      </c>
      <c r="H193" s="14">
        <v>0</v>
      </c>
      <c r="I193" t="s">
        <v>1152</v>
      </c>
      <c r="J193" s="14">
        <v>18000</v>
      </c>
      <c r="K193" s="14">
        <v>14912.57</v>
      </c>
      <c r="L193" s="14">
        <v>0</v>
      </c>
    </row>
    <row r="194" spans="1:12">
      <c r="A194" t="s">
        <v>1153</v>
      </c>
      <c r="B194" t="s">
        <v>1154</v>
      </c>
      <c r="C194" t="s">
        <v>1155</v>
      </c>
      <c r="D194" t="s">
        <v>1156</v>
      </c>
      <c r="E194" t="s">
        <v>1157</v>
      </c>
      <c r="F194" s="14">
        <v>0</v>
      </c>
      <c r="G194" s="14">
        <v>0</v>
      </c>
      <c r="H194" s="14">
        <v>0</v>
      </c>
      <c r="I194" t="s">
        <v>1158</v>
      </c>
      <c r="J194" s="14">
        <v>0</v>
      </c>
      <c r="K194" s="14">
        <v>3042.32</v>
      </c>
      <c r="L194" s="14">
        <v>0</v>
      </c>
    </row>
    <row r="195" spans="1:12">
      <c r="A195" t="s">
        <v>1159</v>
      </c>
      <c r="B195" t="s">
        <v>1160</v>
      </c>
      <c r="C195" t="s">
        <v>1161</v>
      </c>
      <c r="D195" t="s">
        <v>1162</v>
      </c>
      <c r="E195" t="s">
        <v>1163</v>
      </c>
      <c r="F195" s="14">
        <v>2750</v>
      </c>
      <c r="G195" s="14">
        <v>2783</v>
      </c>
      <c r="H195" s="14">
        <v>0</v>
      </c>
      <c r="I195" t="s">
        <v>1164</v>
      </c>
      <c r="J195" s="14">
        <v>2750</v>
      </c>
      <c r="K195" s="14">
        <v>2783</v>
      </c>
      <c r="L195" s="14">
        <v>0</v>
      </c>
    </row>
    <row r="196" spans="1:12">
      <c r="A196" t="s">
        <v>1165</v>
      </c>
      <c r="B196" t="s">
        <v>1166</v>
      </c>
      <c r="C196" t="s">
        <v>1167</v>
      </c>
      <c r="D196" t="s">
        <v>1168</v>
      </c>
      <c r="E196" t="s">
        <v>1169</v>
      </c>
      <c r="F196" s="14">
        <v>300</v>
      </c>
      <c r="G196" s="14">
        <v>305.26</v>
      </c>
      <c r="H196" s="14">
        <v>0</v>
      </c>
      <c r="I196" t="s">
        <v>1170</v>
      </c>
      <c r="J196" s="14">
        <v>300</v>
      </c>
      <c r="K196" s="14">
        <v>305.26</v>
      </c>
      <c r="L196" s="14">
        <v>0</v>
      </c>
    </row>
    <row r="197" spans="1:12">
      <c r="A197" t="s">
        <v>1171</v>
      </c>
      <c r="B197" t="s">
        <v>1172</v>
      </c>
      <c r="C197" t="s">
        <v>1173</v>
      </c>
      <c r="D197" t="s">
        <v>1174</v>
      </c>
      <c r="E197" t="s">
        <v>1175</v>
      </c>
      <c r="F197" s="14">
        <v>14000</v>
      </c>
      <c r="G197" s="14">
        <v>28312.21</v>
      </c>
      <c r="H197" s="14">
        <v>0</v>
      </c>
      <c r="I197" t="s">
        <v>1176</v>
      </c>
      <c r="J197" s="14">
        <v>3591</v>
      </c>
      <c r="K197" s="14">
        <v>0</v>
      </c>
      <c r="L197" s="14">
        <v>0</v>
      </c>
    </row>
    <row r="198" spans="1:12">
      <c r="A198" t="s">
        <v>1177</v>
      </c>
      <c r="B198" t="s">
        <v>1178</v>
      </c>
      <c r="C198" t="s">
        <v>1179</v>
      </c>
      <c r="D198" t="s">
        <v>1180</v>
      </c>
      <c r="E198" t="s">
        <v>1181</v>
      </c>
      <c r="F198" s="14">
        <v>0</v>
      </c>
      <c r="G198" s="14">
        <v>0</v>
      </c>
      <c r="H198" s="14">
        <v>0</v>
      </c>
      <c r="I198" t="s">
        <v>1182</v>
      </c>
      <c r="J198" s="14">
        <v>10409</v>
      </c>
      <c r="K198" s="14">
        <v>28312.21</v>
      </c>
      <c r="L198" s="14">
        <v>0</v>
      </c>
    </row>
    <row r="199" spans="1:12">
      <c r="A199" t="s">
        <v>1183</v>
      </c>
      <c r="B199" t="s">
        <v>1184</v>
      </c>
      <c r="C199" t="s">
        <v>1185</v>
      </c>
      <c r="D199" t="s">
        <v>1186</v>
      </c>
      <c r="E199" t="s">
        <v>1187</v>
      </c>
      <c r="F199" s="14">
        <v>21000</v>
      </c>
      <c r="G199" s="14">
        <v>21025</v>
      </c>
      <c r="H199" s="14">
        <v>0</v>
      </c>
      <c r="I199" t="s">
        <v>1188</v>
      </c>
      <c r="J199" s="14">
        <v>21000</v>
      </c>
      <c r="K199" s="14">
        <v>0</v>
      </c>
      <c r="L199" s="14">
        <v>0</v>
      </c>
    </row>
    <row r="200" spans="1:12">
      <c r="A200" t="s">
        <v>1189</v>
      </c>
      <c r="B200" t="s">
        <v>1190</v>
      </c>
      <c r="C200" t="s">
        <v>1191</v>
      </c>
      <c r="D200" t="s">
        <v>1192</v>
      </c>
      <c r="E200" t="s">
        <v>1193</v>
      </c>
      <c r="F200" s="14">
        <v>0</v>
      </c>
      <c r="G200" s="14">
        <v>0</v>
      </c>
      <c r="H200" s="14">
        <v>0</v>
      </c>
      <c r="I200" t="s">
        <v>1194</v>
      </c>
      <c r="J200" s="14">
        <v>0</v>
      </c>
      <c r="K200" s="14">
        <v>21025</v>
      </c>
      <c r="L200" s="14">
        <v>0</v>
      </c>
    </row>
    <row r="201" spans="1:12">
      <c r="A201" t="s">
        <v>1195</v>
      </c>
      <c r="B201" t="s">
        <v>1196</v>
      </c>
      <c r="C201" t="s">
        <v>1197</v>
      </c>
      <c r="D201" t="s">
        <v>1198</v>
      </c>
      <c r="E201" t="s">
        <v>1199</v>
      </c>
      <c r="F201" s="14">
        <v>0</v>
      </c>
      <c r="G201" s="14">
        <v>10900</v>
      </c>
      <c r="H201" s="14">
        <v>0</v>
      </c>
      <c r="I201" t="s">
        <v>1200</v>
      </c>
      <c r="J201" s="14">
        <v>0</v>
      </c>
      <c r="K201" s="14">
        <v>10900</v>
      </c>
      <c r="L201" s="14">
        <v>0</v>
      </c>
    </row>
    <row r="202" spans="1:12">
      <c r="A202" t="s">
        <v>1201</v>
      </c>
      <c r="B202" t="s">
        <v>1202</v>
      </c>
      <c r="C202" t="s">
        <v>1203</v>
      </c>
      <c r="D202" t="s">
        <v>1204</v>
      </c>
      <c r="E202" t="s">
        <v>1205</v>
      </c>
      <c r="F202" s="14">
        <v>0</v>
      </c>
      <c r="G202" s="14">
        <v>785.81</v>
      </c>
      <c r="H202" s="14">
        <v>0</v>
      </c>
      <c r="I202" t="s">
        <v>1206</v>
      </c>
      <c r="J202" s="14">
        <v>0</v>
      </c>
      <c r="K202" s="14">
        <v>785.81</v>
      </c>
      <c r="L202" s="14">
        <v>0</v>
      </c>
    </row>
    <row r="203" spans="1:12">
      <c r="A203" t="s">
        <v>1207</v>
      </c>
      <c r="B203" t="s">
        <v>1208</v>
      </c>
      <c r="C203" t="s">
        <v>1209</v>
      </c>
      <c r="D203" t="s">
        <v>1210</v>
      </c>
      <c r="E203" t="s">
        <v>1211</v>
      </c>
      <c r="F203" s="14">
        <v>0</v>
      </c>
      <c r="G203" s="14">
        <v>13999.11</v>
      </c>
      <c r="H203" s="14">
        <v>0</v>
      </c>
      <c r="I203" t="s">
        <v>1212</v>
      </c>
      <c r="J203" s="14">
        <v>0</v>
      </c>
      <c r="K203" s="14">
        <v>13999.11</v>
      </c>
      <c r="L203" s="14">
        <v>0</v>
      </c>
    </row>
    <row r="204" spans="1:12">
      <c r="A204" t="s">
        <v>1213</v>
      </c>
      <c r="B204" t="s">
        <v>1214</v>
      </c>
      <c r="C204" t="s">
        <v>1215</v>
      </c>
      <c r="D204" t="s">
        <v>1216</v>
      </c>
      <c r="E204" t="s">
        <v>1217</v>
      </c>
      <c r="F204" s="14">
        <v>0</v>
      </c>
      <c r="G204" s="14">
        <v>127746.4</v>
      </c>
      <c r="H204" s="14">
        <v>0</v>
      </c>
      <c r="I204" t="s">
        <v>1218</v>
      </c>
      <c r="J204" s="14">
        <v>0</v>
      </c>
      <c r="K204" s="14">
        <v>127746.4</v>
      </c>
      <c r="L204" s="14">
        <v>0</v>
      </c>
    </row>
    <row r="205" spans="1:12">
      <c r="A205" t="s">
        <v>1219</v>
      </c>
      <c r="B205" t="s">
        <v>1220</v>
      </c>
      <c r="C205" t="s">
        <v>1221</v>
      </c>
      <c r="D205" t="s">
        <v>1222</v>
      </c>
      <c r="E205" t="s">
        <v>1223</v>
      </c>
      <c r="F205" s="14">
        <v>0</v>
      </c>
      <c r="G205" s="14">
        <v>5.39</v>
      </c>
      <c r="H205" s="14">
        <v>0</v>
      </c>
      <c r="I205" t="s">
        <v>1224</v>
      </c>
      <c r="J205" s="14">
        <v>0</v>
      </c>
      <c r="K205" s="14">
        <v>5.39</v>
      </c>
      <c r="L205" s="14">
        <v>0</v>
      </c>
    </row>
    <row r="206" spans="1:12">
      <c r="A206" t="s">
        <v>1225</v>
      </c>
      <c r="B206" t="s">
        <v>1226</v>
      </c>
      <c r="C206" t="s">
        <v>1227</v>
      </c>
      <c r="D206" t="s">
        <v>1228</v>
      </c>
      <c r="E206" t="s">
        <v>1229</v>
      </c>
      <c r="F206" s="14">
        <v>0</v>
      </c>
      <c r="G206" s="14">
        <v>50000</v>
      </c>
      <c r="H206" s="14">
        <v>0</v>
      </c>
      <c r="I206" t="s">
        <v>1230</v>
      </c>
      <c r="J206" s="14">
        <v>0</v>
      </c>
      <c r="K206" s="14">
        <v>50000</v>
      </c>
      <c r="L206" s="14">
        <v>0</v>
      </c>
    </row>
    <row r="207" spans="1:12">
      <c r="A207" t="s">
        <v>1231</v>
      </c>
      <c r="B207" t="s">
        <v>1232</v>
      </c>
      <c r="C207" t="s">
        <v>1233</v>
      </c>
      <c r="D207" t="s">
        <v>1234</v>
      </c>
      <c r="E207" t="s">
        <v>1235</v>
      </c>
      <c r="F207" s="14">
        <v>6500</v>
      </c>
      <c r="G207" s="14">
        <v>0</v>
      </c>
      <c r="H207" s="14">
        <v>0</v>
      </c>
      <c r="I207" t="s">
        <v>1236</v>
      </c>
      <c r="J207" s="14">
        <v>6500</v>
      </c>
      <c r="K207" s="14">
        <v>0</v>
      </c>
      <c r="L207" s="14">
        <v>0</v>
      </c>
    </row>
    <row r="208" spans="1:12">
      <c r="A208" t="s">
        <v>1237</v>
      </c>
      <c r="B208" t="s">
        <v>1238</v>
      </c>
      <c r="C208" t="s">
        <v>1239</v>
      </c>
      <c r="D208" t="s">
        <v>1240</v>
      </c>
      <c r="E208" t="s">
        <v>1241</v>
      </c>
      <c r="F208" s="14">
        <v>1000</v>
      </c>
      <c r="G208" s="14">
        <v>0</v>
      </c>
      <c r="H208" s="14">
        <v>0</v>
      </c>
      <c r="I208" t="s">
        <v>1242</v>
      </c>
      <c r="J208" s="14">
        <v>1000</v>
      </c>
      <c r="K208" s="14">
        <v>0</v>
      </c>
      <c r="L208" s="14">
        <v>0</v>
      </c>
    </row>
    <row r="209" spans="1:12">
      <c r="A209" t="s">
        <v>1243</v>
      </c>
      <c r="B209" t="s">
        <v>1244</v>
      </c>
      <c r="C209" t="s">
        <v>1245</v>
      </c>
      <c r="D209" t="s">
        <v>1246</v>
      </c>
      <c r="E209" t="s">
        <v>1247</v>
      </c>
      <c r="F209" s="14">
        <v>17500</v>
      </c>
      <c r="G209" s="14">
        <v>15683.73</v>
      </c>
      <c r="H209" s="14">
        <v>0</v>
      </c>
      <c r="I209" t="s">
        <v>1248</v>
      </c>
      <c r="J209" s="14">
        <v>17500</v>
      </c>
      <c r="K209" s="14">
        <v>15683.73</v>
      </c>
      <c r="L209" s="14">
        <v>0</v>
      </c>
    </row>
    <row r="210" spans="1:12">
      <c r="A210" t="s">
        <v>1249</v>
      </c>
      <c r="B210" t="s">
        <v>1250</v>
      </c>
      <c r="C210" t="s">
        <v>1251</v>
      </c>
      <c r="D210" t="s">
        <v>1252</v>
      </c>
      <c r="E210" t="s">
        <v>1253</v>
      </c>
      <c r="F210" s="14">
        <v>11000</v>
      </c>
      <c r="G210" s="14">
        <v>5425.88</v>
      </c>
      <c r="H210" s="14">
        <v>0</v>
      </c>
      <c r="I210" t="s">
        <v>1254</v>
      </c>
      <c r="J210" s="14">
        <v>11000</v>
      </c>
      <c r="K210" s="14">
        <v>5425.88</v>
      </c>
      <c r="L210" s="14">
        <v>0</v>
      </c>
    </row>
    <row r="212" spans="1:12">
      <c r="A212" s="6"/>
      <c r="C212" s="6"/>
    </row>
    <row r="223" spans="1:12">
      <c r="D223" s="1"/>
    </row>
  </sheetData>
  <mergeCells count="1">
    <mergeCell ref="A1:L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50"/>
  <sheetViews>
    <sheetView workbookViewId="0">
      <selection activeCell="A2" sqref="A2:C49"/>
    </sheetView>
  </sheetViews>
  <sheetFormatPr defaultRowHeight="15"/>
  <cols>
    <col min="1" max="1" width="66.42578125" customWidth="1"/>
    <col min="2" max="2" width="24.7109375" customWidth="1"/>
    <col min="3" max="3" width="23.28515625" customWidth="1"/>
  </cols>
  <sheetData>
    <row r="2" spans="1:3" ht="36" customHeight="1">
      <c r="B2" s="16" t="s">
        <v>1258</v>
      </c>
      <c r="C2" s="16" t="s">
        <v>1259</v>
      </c>
    </row>
    <row r="3" spans="1:3" ht="36" hidden="1" customHeight="1">
      <c r="B3" s="15" t="s">
        <v>1258</v>
      </c>
    </row>
    <row r="4" spans="1:3" hidden="1">
      <c r="A4" s="15" t="s">
        <v>1255</v>
      </c>
      <c r="B4" t="s">
        <v>1260</v>
      </c>
      <c r="C4" t="s">
        <v>1257</v>
      </c>
    </row>
    <row r="5" spans="1:3">
      <c r="A5" s="5" t="s">
        <v>17</v>
      </c>
      <c r="B5" s="11">
        <v>21077500</v>
      </c>
      <c r="C5" s="11">
        <v>21222102.850000001</v>
      </c>
    </row>
    <row r="6" spans="1:3">
      <c r="A6" s="5" t="s">
        <v>35</v>
      </c>
      <c r="B6" s="11">
        <v>521710</v>
      </c>
      <c r="C6" s="11">
        <v>452144.63</v>
      </c>
    </row>
    <row r="7" spans="1:3">
      <c r="A7" s="5" t="s">
        <v>41</v>
      </c>
      <c r="B7" s="11">
        <v>3250350</v>
      </c>
      <c r="C7" s="11">
        <v>3290338.92</v>
      </c>
    </row>
    <row r="8" spans="1:3">
      <c r="A8" s="5" t="s">
        <v>59</v>
      </c>
      <c r="B8" s="11">
        <v>362000</v>
      </c>
      <c r="C8" s="11">
        <v>360737.54999999993</v>
      </c>
    </row>
    <row r="9" spans="1:3">
      <c r="A9" s="5" t="s">
        <v>77</v>
      </c>
      <c r="B9" s="11">
        <v>731542</v>
      </c>
      <c r="C9" s="11">
        <v>679519.42</v>
      </c>
    </row>
    <row r="10" spans="1:3">
      <c r="A10" s="5" t="s">
        <v>89</v>
      </c>
      <c r="B10" s="11">
        <v>337353</v>
      </c>
      <c r="C10" s="11">
        <v>335331.64999999997</v>
      </c>
    </row>
    <row r="11" spans="1:3">
      <c r="A11" s="5" t="s">
        <v>95</v>
      </c>
      <c r="B11" s="11">
        <v>172259</v>
      </c>
      <c r="C11" s="11">
        <v>183649.08000000002</v>
      </c>
    </row>
    <row r="12" spans="1:3">
      <c r="A12" s="5" t="s">
        <v>101</v>
      </c>
      <c r="B12" s="11">
        <v>404903</v>
      </c>
      <c r="C12" s="11">
        <v>364764.45</v>
      </c>
    </row>
    <row r="13" spans="1:3">
      <c r="A13" s="5" t="s">
        <v>359</v>
      </c>
      <c r="B13" s="11">
        <v>2000</v>
      </c>
      <c r="C13" s="11">
        <v>1699.08</v>
      </c>
    </row>
    <row r="14" spans="1:3">
      <c r="A14" s="5" t="s">
        <v>365</v>
      </c>
      <c r="B14" s="11">
        <v>409509</v>
      </c>
      <c r="C14" s="11">
        <v>412017.21</v>
      </c>
    </row>
    <row r="15" spans="1:3">
      <c r="A15" s="5" t="s">
        <v>383</v>
      </c>
      <c r="B15" s="11">
        <v>58000</v>
      </c>
      <c r="C15" s="11">
        <v>73597.91</v>
      </c>
    </row>
    <row r="16" spans="1:3">
      <c r="A16" s="5" t="s">
        <v>395</v>
      </c>
      <c r="B16" s="11">
        <v>26000</v>
      </c>
      <c r="C16" s="11">
        <v>23893.040000000001</v>
      </c>
    </row>
    <row r="17" spans="1:3">
      <c r="A17" s="5" t="s">
        <v>113</v>
      </c>
      <c r="B17" s="11">
        <v>131000</v>
      </c>
      <c r="C17" s="11">
        <v>96353.81</v>
      </c>
    </row>
    <row r="18" spans="1:3">
      <c r="A18" s="5" t="s">
        <v>419</v>
      </c>
      <c r="B18" s="11">
        <v>775000</v>
      </c>
      <c r="C18" s="11">
        <v>712895.01</v>
      </c>
    </row>
    <row r="19" spans="1:3">
      <c r="A19" s="5" t="s">
        <v>437</v>
      </c>
      <c r="B19" s="11">
        <v>111000</v>
      </c>
      <c r="C19" s="11">
        <v>108332.65999999999</v>
      </c>
    </row>
    <row r="20" spans="1:3">
      <c r="A20" s="5" t="s">
        <v>449</v>
      </c>
      <c r="B20" s="11">
        <v>217041</v>
      </c>
      <c r="C20" s="11">
        <v>221039.05000000002</v>
      </c>
    </row>
    <row r="21" spans="1:3">
      <c r="A21" s="5" t="s">
        <v>119</v>
      </c>
      <c r="B21" s="11">
        <v>310000</v>
      </c>
      <c r="C21" s="11">
        <v>393003.06999999995</v>
      </c>
    </row>
    <row r="22" spans="1:3">
      <c r="A22" s="5" t="s">
        <v>215</v>
      </c>
      <c r="B22" s="11">
        <v>25770</v>
      </c>
      <c r="C22" s="11">
        <v>17485</v>
      </c>
    </row>
    <row r="23" spans="1:3">
      <c r="A23" s="5" t="s">
        <v>125</v>
      </c>
      <c r="B23" s="11">
        <v>3177076</v>
      </c>
      <c r="C23" s="11">
        <v>3156386.1999999997</v>
      </c>
    </row>
    <row r="24" spans="1:3">
      <c r="A24" s="5" t="s">
        <v>509</v>
      </c>
      <c r="B24" s="11">
        <v>90000</v>
      </c>
      <c r="C24" s="11">
        <v>110814.65</v>
      </c>
    </row>
    <row r="25" spans="1:3">
      <c r="A25" s="5" t="s">
        <v>137</v>
      </c>
      <c r="B25" s="11">
        <v>226412</v>
      </c>
      <c r="C25" s="11">
        <v>189571.05</v>
      </c>
    </row>
    <row r="26" spans="1:3">
      <c r="A26" s="5" t="s">
        <v>539</v>
      </c>
      <c r="B26" s="11">
        <v>17848</v>
      </c>
      <c r="C26" s="11">
        <v>44823.56</v>
      </c>
    </row>
    <row r="27" spans="1:3">
      <c r="A27" s="5" t="s">
        <v>551</v>
      </c>
      <c r="B27" s="11">
        <v>120500</v>
      </c>
      <c r="C27" s="11">
        <v>112413.27</v>
      </c>
    </row>
    <row r="28" spans="1:3">
      <c r="A28" s="5" t="s">
        <v>143</v>
      </c>
      <c r="B28" s="11">
        <v>285000</v>
      </c>
      <c r="C28" s="11">
        <v>292419.58999999997</v>
      </c>
    </row>
    <row r="29" spans="1:3">
      <c r="A29" s="5" t="s">
        <v>587</v>
      </c>
      <c r="B29" s="11">
        <v>59000</v>
      </c>
      <c r="C29" s="11">
        <v>83285.649999999994</v>
      </c>
    </row>
    <row r="30" spans="1:3">
      <c r="A30" s="5" t="s">
        <v>155</v>
      </c>
      <c r="B30" s="11">
        <v>53540</v>
      </c>
      <c r="C30" s="11">
        <v>47131.4</v>
      </c>
    </row>
    <row r="31" spans="1:3">
      <c r="A31" s="5" t="s">
        <v>623</v>
      </c>
      <c r="B31" s="11">
        <v>388000</v>
      </c>
      <c r="C31" s="11">
        <v>254366.93</v>
      </c>
    </row>
    <row r="32" spans="1:3">
      <c r="A32" s="5" t="s">
        <v>641</v>
      </c>
      <c r="B32" s="11">
        <v>48680</v>
      </c>
      <c r="C32" s="11">
        <v>41163.600000000006</v>
      </c>
    </row>
    <row r="33" spans="1:3">
      <c r="A33" s="5" t="s">
        <v>167</v>
      </c>
      <c r="B33" s="11">
        <v>12000</v>
      </c>
      <c r="C33" s="11">
        <v>16805.650000000001</v>
      </c>
    </row>
    <row r="34" spans="1:3">
      <c r="A34" s="5" t="s">
        <v>671</v>
      </c>
      <c r="B34" s="11">
        <v>0</v>
      </c>
      <c r="C34" s="11">
        <v>111</v>
      </c>
    </row>
    <row r="35" spans="1:3">
      <c r="A35" s="5" t="s">
        <v>677</v>
      </c>
      <c r="B35" s="11">
        <v>0</v>
      </c>
      <c r="C35" s="11">
        <v>299960</v>
      </c>
    </row>
    <row r="36" spans="1:3">
      <c r="A36" s="5" t="s">
        <v>173</v>
      </c>
      <c r="B36" s="11">
        <v>11400</v>
      </c>
      <c r="C36" s="11">
        <v>11400</v>
      </c>
    </row>
    <row r="37" spans="1:3">
      <c r="A37" s="5" t="s">
        <v>689</v>
      </c>
      <c r="B37" s="11">
        <v>30000</v>
      </c>
      <c r="C37" s="11">
        <v>35661.25</v>
      </c>
    </row>
    <row r="38" spans="1:3">
      <c r="A38" s="5" t="s">
        <v>695</v>
      </c>
      <c r="B38" s="11">
        <v>53000</v>
      </c>
      <c r="C38" s="11">
        <v>105300</v>
      </c>
    </row>
    <row r="39" spans="1:3">
      <c r="A39" s="5" t="s">
        <v>719</v>
      </c>
      <c r="B39" s="11">
        <v>0</v>
      </c>
      <c r="C39" s="11">
        <v>125.66</v>
      </c>
    </row>
    <row r="40" spans="1:3">
      <c r="A40" s="5" t="s">
        <v>725</v>
      </c>
      <c r="B40" s="11">
        <v>235000</v>
      </c>
      <c r="C40" s="11">
        <v>225911.86</v>
      </c>
    </row>
    <row r="41" spans="1:3">
      <c r="A41" s="5" t="s">
        <v>179</v>
      </c>
      <c r="B41" s="11">
        <v>709121</v>
      </c>
      <c r="C41" s="11">
        <v>756681.77</v>
      </c>
    </row>
    <row r="42" spans="1:3">
      <c r="A42" s="5" t="s">
        <v>767</v>
      </c>
      <c r="B42" s="11">
        <v>25000</v>
      </c>
      <c r="C42" s="11">
        <v>21295.89</v>
      </c>
    </row>
    <row r="43" spans="1:3">
      <c r="A43" s="5" t="s">
        <v>779</v>
      </c>
      <c r="B43" s="11">
        <v>38000</v>
      </c>
      <c r="C43" s="11">
        <v>30927.32</v>
      </c>
    </row>
    <row r="44" spans="1:3">
      <c r="A44" s="5" t="s">
        <v>791</v>
      </c>
      <c r="B44" s="11">
        <v>300000</v>
      </c>
      <c r="C44" s="11">
        <v>379950.03</v>
      </c>
    </row>
    <row r="45" spans="1:3">
      <c r="A45" s="5" t="s">
        <v>803</v>
      </c>
      <c r="B45" s="11">
        <v>60000</v>
      </c>
      <c r="C45" s="11">
        <v>53413.38</v>
      </c>
    </row>
    <row r="46" spans="1:3">
      <c r="A46" s="5" t="s">
        <v>809</v>
      </c>
      <c r="B46" s="11">
        <v>222209</v>
      </c>
      <c r="C46" s="11">
        <v>0</v>
      </c>
    </row>
    <row r="47" spans="1:3">
      <c r="A47" s="5" t="s">
        <v>821</v>
      </c>
      <c r="B47" s="11">
        <v>18000</v>
      </c>
      <c r="C47" s="11">
        <v>17525</v>
      </c>
    </row>
    <row r="48" spans="1:3">
      <c r="A48" s="5" t="s">
        <v>827</v>
      </c>
      <c r="B48" s="11">
        <v>50400</v>
      </c>
      <c r="C48" s="11">
        <v>56426.729999999996</v>
      </c>
    </row>
    <row r="49" spans="1:3">
      <c r="A49" s="5" t="s">
        <v>851</v>
      </c>
      <c r="B49" s="11">
        <v>0</v>
      </c>
      <c r="C49" s="11">
        <v>15000</v>
      </c>
    </row>
    <row r="50" spans="1:3">
      <c r="A50" s="5" t="s">
        <v>1256</v>
      </c>
      <c r="B50" s="11">
        <v>35153123</v>
      </c>
      <c r="C50" s="11">
        <v>35307775.829999991</v>
      </c>
    </row>
  </sheetData>
  <pageMargins left="0.70866141732283472" right="0.70866141732283472" top="0.74803149606299213" bottom="0.74803149606299213" header="0.31496062992125984" footer="0.31496062992125984"/>
  <pageSetup paperSize="9" scale="70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G38"/>
  <sheetViews>
    <sheetView topLeftCell="A19" zoomScale="140" zoomScaleNormal="140" workbookViewId="0">
      <selection activeCell="H31" sqref="H31"/>
    </sheetView>
  </sheetViews>
  <sheetFormatPr defaultColWidth="11.42578125" defaultRowHeight="15"/>
  <cols>
    <col min="1" max="1" width="54.42578125" style="18" customWidth="1"/>
    <col min="2" max="2" width="20.5703125" style="159" customWidth="1"/>
    <col min="3" max="3" width="20.5703125" style="18" customWidth="1"/>
    <col min="4" max="4" width="18.85546875" style="18" customWidth="1"/>
    <col min="5" max="5" width="17.5703125" style="18" customWidth="1"/>
    <col min="6" max="6" width="15.140625" style="18" customWidth="1"/>
    <col min="7" max="7" width="12.7109375" style="18" bestFit="1" customWidth="1"/>
    <col min="8" max="16384" width="11.42578125" style="18"/>
  </cols>
  <sheetData>
    <row r="1" spans="1:6">
      <c r="A1" s="199"/>
    </row>
    <row r="2" spans="1:6">
      <c r="A2" s="199"/>
    </row>
    <row r="3" spans="1:6">
      <c r="A3" s="199"/>
    </row>
    <row r="4" spans="1:6">
      <c r="A4" s="199"/>
    </row>
    <row r="5" spans="1:6">
      <c r="A5" s="199"/>
    </row>
    <row r="6" spans="1:6" ht="15.75">
      <c r="A6" s="86" t="s">
        <v>1414</v>
      </c>
      <c r="B6" s="160"/>
      <c r="C6" s="33"/>
    </row>
    <row r="7" spans="1:6">
      <c r="A7" s="28"/>
      <c r="B7" s="161"/>
      <c r="C7" s="19"/>
    </row>
    <row r="8" spans="1:6">
      <c r="A8" s="28"/>
      <c r="B8" s="161"/>
      <c r="C8" s="19"/>
    </row>
    <row r="9" spans="1:6" ht="28.9" customHeight="1">
      <c r="A9" s="203" t="s">
        <v>1496</v>
      </c>
      <c r="B9" s="203"/>
      <c r="C9" s="203"/>
      <c r="D9" s="203"/>
      <c r="E9" s="203"/>
      <c r="F9" s="203"/>
    </row>
    <row r="10" spans="1:6" ht="21" customHeight="1">
      <c r="A10" s="201"/>
      <c r="B10" s="201"/>
      <c r="C10" s="201"/>
      <c r="D10" s="201"/>
      <c r="E10" s="201"/>
      <c r="F10" s="201"/>
    </row>
    <row r="11" spans="1:6" ht="33" customHeight="1">
      <c r="A11" s="202" t="s">
        <v>1497</v>
      </c>
      <c r="B11" s="202"/>
      <c r="C11" s="202"/>
      <c r="D11" s="202"/>
      <c r="E11" s="202"/>
      <c r="F11" s="202"/>
    </row>
    <row r="12" spans="1:6" ht="19.149999999999999" customHeight="1">
      <c r="A12" s="205" t="s">
        <v>1334</v>
      </c>
      <c r="B12" s="205"/>
      <c r="C12" s="205"/>
      <c r="D12" s="205"/>
      <c r="E12" s="205"/>
      <c r="F12" s="206"/>
    </row>
    <row r="13" spans="1:6" ht="19.5" customHeight="1">
      <c r="A13" s="20"/>
      <c r="B13" s="162"/>
      <c r="C13" s="20"/>
    </row>
    <row r="14" spans="1:6" ht="77.25" customHeight="1">
      <c r="A14" s="57" t="s">
        <v>1377</v>
      </c>
      <c r="B14" s="148" t="s">
        <v>1498</v>
      </c>
      <c r="C14" s="59" t="s">
        <v>1502</v>
      </c>
      <c r="D14" s="59" t="s">
        <v>1499</v>
      </c>
      <c r="E14" s="59" t="s">
        <v>1500</v>
      </c>
      <c r="F14" s="59" t="s">
        <v>1503</v>
      </c>
    </row>
    <row r="15" spans="1:6" ht="14.25" customHeight="1">
      <c r="A15" s="60">
        <v>1</v>
      </c>
      <c r="B15" s="163">
        <v>2</v>
      </c>
      <c r="C15" s="60">
        <v>3</v>
      </c>
      <c r="D15" s="58">
        <v>4</v>
      </c>
      <c r="E15" s="58">
        <v>5</v>
      </c>
      <c r="F15" s="58">
        <v>6</v>
      </c>
    </row>
    <row r="16" spans="1:6" ht="19.899999999999999" customHeight="1">
      <c r="A16" s="21" t="s">
        <v>1327</v>
      </c>
      <c r="B16" s="164">
        <f>B17+B18</f>
        <v>30679340.68</v>
      </c>
      <c r="C16" s="164">
        <f>C17+C18</f>
        <v>4071848.2553586834</v>
      </c>
      <c r="D16" s="63">
        <f t="shared" ref="D16:E16" si="0">D17+D18</f>
        <v>11627093</v>
      </c>
      <c r="E16" s="63">
        <f t="shared" si="0"/>
        <v>4774036.9400000004</v>
      </c>
      <c r="F16" s="73">
        <f>IF(D16&lt;&gt;0,E16/D16,"***")</f>
        <v>0.41059591937554818</v>
      </c>
    </row>
    <row r="17" spans="1:7" ht="19.899999999999999" customHeight="1">
      <c r="A17" s="21" t="s">
        <v>1328</v>
      </c>
      <c r="B17" s="165">
        <f>'2-PRIHODI'!C8</f>
        <v>30673860.68</v>
      </c>
      <c r="C17" s="165">
        <f>'2-PRIHODI'!D8</f>
        <v>4071120.9343685713</v>
      </c>
      <c r="D17" s="90">
        <f>'2-PRIHODI'!E8</f>
        <v>11624439</v>
      </c>
      <c r="E17" s="90">
        <f>'2-PRIHODI'!F8</f>
        <v>4774036.9400000004</v>
      </c>
      <c r="F17" s="73">
        <f t="shared" ref="F17:F22" si="1">IF(D17&lt;&gt;0,E17/D17,"***")</f>
        <v>0.41068966338934726</v>
      </c>
    </row>
    <row r="18" spans="1:7" ht="19.899999999999999" customHeight="1">
      <c r="A18" s="22" t="s">
        <v>1363</v>
      </c>
      <c r="B18" s="165">
        <f>'2-PRIHODI'!C47</f>
        <v>5480</v>
      </c>
      <c r="C18" s="165">
        <f>'2-PRIHODI'!D47</f>
        <v>727.32099011215075</v>
      </c>
      <c r="D18" s="90">
        <f>'2-PRIHODI'!E47</f>
        <v>2654</v>
      </c>
      <c r="E18" s="90">
        <f>'2-PRIHODI'!F47</f>
        <v>0</v>
      </c>
      <c r="F18" s="73">
        <f t="shared" si="1"/>
        <v>0</v>
      </c>
      <c r="G18" s="23"/>
    </row>
    <row r="19" spans="1:7" ht="19.899999999999999" customHeight="1">
      <c r="A19" s="24" t="s">
        <v>1329</v>
      </c>
      <c r="B19" s="165">
        <f>B20+B21</f>
        <v>34075580.839999996</v>
      </c>
      <c r="C19" s="165">
        <f>C20+C21</f>
        <v>4522606.787444423</v>
      </c>
      <c r="D19" s="90">
        <f t="shared" ref="D19:E19" si="2">D20+D21</f>
        <v>16224542</v>
      </c>
      <c r="E19" s="90">
        <f t="shared" si="2"/>
        <v>5405805.5500000007</v>
      </c>
      <c r="F19" s="73">
        <f t="shared" si="1"/>
        <v>0.33318694296578605</v>
      </c>
    </row>
    <row r="20" spans="1:7" ht="19.899999999999999" customHeight="1">
      <c r="A20" s="25" t="s">
        <v>1330</v>
      </c>
      <c r="B20" s="164">
        <f>'3-RASHODI'!C8</f>
        <v>31703340.489999995</v>
      </c>
      <c r="C20" s="164">
        <f>'3-RASHODI'!D8</f>
        <v>4207756.3859579274</v>
      </c>
      <c r="D20" s="63">
        <f>'3-RASHODI'!E8</f>
        <v>11642409</v>
      </c>
      <c r="E20" s="63">
        <f>'3-RASHODI'!F8</f>
        <v>4840417.4700000007</v>
      </c>
      <c r="F20" s="73">
        <f t="shared" si="1"/>
        <v>0.41575738062457696</v>
      </c>
      <c r="G20" s="138"/>
    </row>
    <row r="21" spans="1:7" ht="19.899999999999999" customHeight="1">
      <c r="A21" s="22" t="s">
        <v>1331</v>
      </c>
      <c r="B21" s="164">
        <f>'3-RASHODI'!C68</f>
        <v>2372240.3499999996</v>
      </c>
      <c r="C21" s="164">
        <f>'3-RASHODI'!D68</f>
        <v>314850.40148649545</v>
      </c>
      <c r="D21" s="63">
        <f>'3-RASHODI'!E68</f>
        <v>4582133</v>
      </c>
      <c r="E21" s="63">
        <f>'3-RASHODI'!F68</f>
        <v>565388.08000000007</v>
      </c>
      <c r="F21" s="73">
        <f t="shared" si="1"/>
        <v>0.1233897139170775</v>
      </c>
    </row>
    <row r="22" spans="1:7" ht="19.899999999999999" customHeight="1">
      <c r="A22" s="87" t="s">
        <v>1332</v>
      </c>
      <c r="B22" s="155">
        <f>B16-B19</f>
        <v>-3396240.1599999964</v>
      </c>
      <c r="C22" s="155">
        <f>C16-C19</f>
        <v>-450758.53208573954</v>
      </c>
      <c r="D22" s="61">
        <f t="shared" ref="D22:E22" si="3">D16-D19</f>
        <v>-4597449</v>
      </c>
      <c r="E22" s="61">
        <f t="shared" si="3"/>
        <v>-631768.61000000034</v>
      </c>
      <c r="F22" s="74">
        <f t="shared" si="1"/>
        <v>0.13741720897828347</v>
      </c>
    </row>
    <row r="23" spans="1:7" ht="19.899999999999999" customHeight="1">
      <c r="A23" s="204"/>
      <c r="B23" s="204"/>
      <c r="C23" s="204"/>
      <c r="D23" s="204"/>
      <c r="E23" s="204"/>
      <c r="F23" s="117"/>
    </row>
    <row r="24" spans="1:7" ht="15" customHeight="1">
      <c r="A24" s="56"/>
      <c r="B24" s="166"/>
      <c r="C24" s="56"/>
      <c r="D24" s="55"/>
      <c r="E24" s="55"/>
      <c r="F24" s="55"/>
    </row>
    <row r="25" spans="1:7">
      <c r="A25" s="44" t="s">
        <v>1381</v>
      </c>
      <c r="B25" s="164">
        <v>24743015.190000001</v>
      </c>
      <c r="C25" s="63">
        <f>B25/7.5345</f>
        <v>3283962.4646625523</v>
      </c>
      <c r="D25" s="63">
        <v>4742198</v>
      </c>
      <c r="E25" s="63">
        <v>4742198</v>
      </c>
      <c r="F25" s="63"/>
    </row>
    <row r="26" spans="1:7" s="28" customFormat="1">
      <c r="A26" s="44" t="s">
        <v>1382</v>
      </c>
      <c r="B26" s="165">
        <v>-21346775.030000001</v>
      </c>
      <c r="C26" s="63">
        <f>B26/7.5345</f>
        <v>-2833203.9325768133</v>
      </c>
      <c r="D26" s="90">
        <v>-144749</v>
      </c>
      <c r="E26" s="90">
        <v>-4110429.39</v>
      </c>
      <c r="F26" s="63"/>
    </row>
    <row r="27" spans="1:7" s="28" customFormat="1" ht="15" customHeight="1">
      <c r="A27" s="56"/>
      <c r="B27" s="166"/>
      <c r="C27" s="56"/>
      <c r="D27" s="55"/>
      <c r="E27" s="55"/>
      <c r="F27" s="55"/>
    </row>
    <row r="28" spans="1:7" s="28" customFormat="1">
      <c r="A28" s="53" t="s">
        <v>1378</v>
      </c>
      <c r="B28" s="164">
        <v>0</v>
      </c>
      <c r="C28" s="164">
        <v>0</v>
      </c>
      <c r="D28" s="63">
        <v>0</v>
      </c>
      <c r="E28" s="63">
        <v>0</v>
      </c>
      <c r="F28" s="73" t="str">
        <f>IF(D28&lt;&gt;0,E28/D28,"***")</f>
        <v>***</v>
      </c>
    </row>
    <row r="29" spans="1:7">
      <c r="A29" s="53" t="s">
        <v>1383</v>
      </c>
      <c r="B29" s="165">
        <f>'3-RASHODI'!C85</f>
        <v>0</v>
      </c>
      <c r="C29" s="165">
        <f>'3-RASHODI'!E85</f>
        <v>0</v>
      </c>
      <c r="D29" s="90">
        <f>'3-RASHODI'!E85</f>
        <v>0</v>
      </c>
      <c r="E29" s="90">
        <f>'3-RASHODI'!F85</f>
        <v>0</v>
      </c>
      <c r="F29" s="73" t="str">
        <f>IF(D29&lt;&gt;0,E29/D29,"***")</f>
        <v>***</v>
      </c>
    </row>
    <row r="30" spans="1:7">
      <c r="A30" s="88" t="s">
        <v>1379</v>
      </c>
      <c r="B30" s="167">
        <f>B28-B29</f>
        <v>0</v>
      </c>
      <c r="C30" s="167">
        <f>C28-C29</f>
        <v>0</v>
      </c>
      <c r="D30" s="91">
        <f t="shared" ref="D30" si="4">D28-D29</f>
        <v>0</v>
      </c>
      <c r="E30" s="91">
        <f>E28-E29</f>
        <v>0</v>
      </c>
      <c r="F30" s="74" t="str">
        <f t="shared" ref="F30" si="5">IF(D30&lt;&gt;0,E30/D30,"***")</f>
        <v>***</v>
      </c>
    </row>
    <row r="31" spans="1:7">
      <c r="A31" s="89" t="s">
        <v>1415</v>
      </c>
      <c r="B31" s="92">
        <f>B22+B25+B26+B30</f>
        <v>3.7252902984619141E-9</v>
      </c>
      <c r="C31" s="92">
        <f>C22+C25+C26+C30</f>
        <v>-4.6566128730773926E-10</v>
      </c>
      <c r="D31" s="92">
        <f t="shared" ref="D31:E31" si="6">D22+D25+D26+D30</f>
        <v>0</v>
      </c>
      <c r="E31" s="92">
        <f t="shared" si="6"/>
        <v>-4.6566128730773926E-10</v>
      </c>
      <c r="F31" s="74">
        <v>0</v>
      </c>
    </row>
    <row r="33" spans="1:5">
      <c r="A33" s="26" t="s">
        <v>1508</v>
      </c>
      <c r="B33" s="168"/>
      <c r="C33" s="26"/>
      <c r="D33" s="28"/>
      <c r="E33" s="28"/>
    </row>
    <row r="34" spans="1:5">
      <c r="A34" s="135" t="s">
        <v>1509</v>
      </c>
      <c r="B34" s="200"/>
      <c r="C34" s="200"/>
      <c r="D34" s="200"/>
      <c r="E34" s="27"/>
    </row>
    <row r="35" spans="1:5">
      <c r="A35" s="29" t="s">
        <v>1507</v>
      </c>
      <c r="B35" s="169"/>
      <c r="C35" s="29"/>
      <c r="D35" s="28"/>
      <c r="E35" s="28"/>
    </row>
    <row r="36" spans="1:5">
      <c r="A36" s="31"/>
      <c r="B36" s="170"/>
      <c r="C36" s="31"/>
      <c r="D36" s="64"/>
      <c r="E36" s="28" t="s">
        <v>1384</v>
      </c>
    </row>
    <row r="37" spans="1:5">
      <c r="A37" s="30"/>
      <c r="B37" s="171"/>
      <c r="C37" s="30"/>
      <c r="D37" s="32"/>
      <c r="E37" s="27"/>
    </row>
    <row r="38" spans="1:5">
      <c r="E38" s="28" t="s">
        <v>1385</v>
      </c>
    </row>
  </sheetData>
  <protectedRanges>
    <protectedRange algorithmName="SHA-512" hashValue="SfUbs0aGjKqwAI3WRTg5YHlfierPjZpDu09aSUFi1wTQU07wZLJq5fKuWVRe6S1aBeBRM7YVukcHjHWUIbErVQ==" saltValue="5Z/3ndaNBUgEO7RicYZ+fg==" spinCount="100000" sqref="A28:A30" name="Raspon1_2_2"/>
  </protectedRanges>
  <mergeCells count="7">
    <mergeCell ref="A1:A5"/>
    <mergeCell ref="B34:D34"/>
    <mergeCell ref="A10:F10"/>
    <mergeCell ref="A11:F11"/>
    <mergeCell ref="A9:F9"/>
    <mergeCell ref="A23:E23"/>
    <mergeCell ref="A12:F12"/>
  </mergeCells>
  <pageMargins left="0.70866141732283472" right="0.70866141732283472" top="0.74803149606299213" bottom="0.74803149606299213" header="0.31496062992125984" footer="0.31496062992125984"/>
  <pageSetup paperSize="8" scale="8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2:H54"/>
  <sheetViews>
    <sheetView tabSelected="1" topLeftCell="A42" zoomScale="150" zoomScaleNormal="150" workbookViewId="0">
      <selection activeCell="H56" sqref="H56"/>
    </sheetView>
  </sheetViews>
  <sheetFormatPr defaultRowHeight="15"/>
  <cols>
    <col min="1" max="1" width="6.5703125" customWidth="1"/>
    <col min="2" max="2" width="49" customWidth="1"/>
    <col min="3" max="3" width="17.140625" style="157" customWidth="1"/>
    <col min="4" max="4" width="16.140625" style="46" customWidth="1"/>
    <col min="5" max="5" width="17" customWidth="1"/>
    <col min="6" max="6" width="16.42578125" customWidth="1"/>
    <col min="7" max="7" width="14.28515625" customWidth="1"/>
    <col min="8" max="8" width="15.28515625" customWidth="1"/>
  </cols>
  <sheetData>
    <row r="2" spans="1:8">
      <c r="A2" s="209" t="s">
        <v>1390</v>
      </c>
      <c r="B2" s="209"/>
      <c r="C2" s="209"/>
      <c r="D2" s="209"/>
      <c r="E2" s="209"/>
      <c r="F2" s="209"/>
      <c r="G2" s="209"/>
    </row>
    <row r="3" spans="1:8">
      <c r="C3" s="151"/>
      <c r="D3" s="158"/>
      <c r="E3" s="8"/>
    </row>
    <row r="4" spans="1:8">
      <c r="A4" s="208" t="s">
        <v>1392</v>
      </c>
      <c r="B4" s="208"/>
      <c r="C4" s="208"/>
      <c r="D4" s="208"/>
      <c r="E4" s="208"/>
      <c r="F4" s="208"/>
    </row>
    <row r="5" spans="1:8">
      <c r="A5" s="207"/>
      <c r="B5" s="207"/>
      <c r="C5" s="207"/>
      <c r="D5" s="207"/>
      <c r="E5" s="207"/>
      <c r="F5" s="207"/>
      <c r="G5" s="54"/>
    </row>
    <row r="6" spans="1:8" ht="45">
      <c r="A6" s="65" t="s">
        <v>1302</v>
      </c>
      <c r="B6" s="65" t="s">
        <v>1335</v>
      </c>
      <c r="C6" s="148" t="s">
        <v>1498</v>
      </c>
      <c r="D6" s="59" t="s">
        <v>1502</v>
      </c>
      <c r="E6" s="59" t="s">
        <v>1499</v>
      </c>
      <c r="F6" s="59" t="s">
        <v>1500</v>
      </c>
      <c r="G6" s="59" t="s">
        <v>1501</v>
      </c>
    </row>
    <row r="7" spans="1:8">
      <c r="A7" s="65">
        <v>1</v>
      </c>
      <c r="B7" s="65">
        <v>2</v>
      </c>
      <c r="C7" s="148">
        <v>3</v>
      </c>
      <c r="D7" s="59">
        <v>4</v>
      </c>
      <c r="E7" s="58">
        <v>5</v>
      </c>
      <c r="F7" s="59">
        <v>6</v>
      </c>
      <c r="G7" s="59">
        <v>7</v>
      </c>
    </row>
    <row r="8" spans="1:8" ht="19.5" customHeight="1">
      <c r="A8" s="66">
        <v>6</v>
      </c>
      <c r="B8" s="66" t="s">
        <v>1333</v>
      </c>
      <c r="C8" s="152">
        <f>C9+C23+C30+C33+C40+C44</f>
        <v>30673860.68</v>
      </c>
      <c r="D8" s="62">
        <f>D9+D23+D30+D33+D40+D44</f>
        <v>4071120.9343685713</v>
      </c>
      <c r="E8" s="62">
        <f>E9+E23+E30+E33+E40+E44</f>
        <v>11624439</v>
      </c>
      <c r="F8" s="62">
        <f>F9+F23+F30+F33+F40+F44</f>
        <v>4774036.9400000004</v>
      </c>
      <c r="G8" s="72">
        <f>IF(E8&lt;&gt;0,F8/E8,"***")</f>
        <v>0.41068966338934726</v>
      </c>
    </row>
    <row r="9" spans="1:8" ht="30">
      <c r="A9" s="66">
        <v>63</v>
      </c>
      <c r="B9" s="66" t="s">
        <v>1338</v>
      </c>
      <c r="C9" s="152">
        <f>C10+C12+C14+C16+C18+C20</f>
        <v>870791.75</v>
      </c>
      <c r="D9" s="62">
        <f>D10+D12+D14+D16+D18+D20</f>
        <v>115573.92660428693</v>
      </c>
      <c r="E9" s="62">
        <f t="shared" ref="E9:F9" si="0">E10+E12+E14+E16+E18+E20</f>
        <v>155376</v>
      </c>
      <c r="F9" s="62">
        <f t="shared" si="0"/>
        <v>114565.01999999999</v>
      </c>
      <c r="G9" s="72">
        <f t="shared" ref="G9:G52" si="1">IF(E9&lt;&gt;0,F9/E9,"***")</f>
        <v>0.73734051590979299</v>
      </c>
    </row>
    <row r="10" spans="1:8">
      <c r="A10" s="66">
        <v>631</v>
      </c>
      <c r="B10" s="66" t="s">
        <v>1437</v>
      </c>
      <c r="C10" s="152">
        <f>C11</f>
        <v>135433.06</v>
      </c>
      <c r="D10" s="62">
        <f>D11</f>
        <v>17975.056075386554</v>
      </c>
      <c r="E10" s="62">
        <f t="shared" ref="E10:F10" si="2">E11</f>
        <v>0</v>
      </c>
      <c r="F10" s="62">
        <f t="shared" si="2"/>
        <v>9972.94</v>
      </c>
      <c r="G10" s="72" t="str">
        <f t="shared" si="1"/>
        <v>***</v>
      </c>
    </row>
    <row r="11" spans="1:8">
      <c r="A11" s="36">
        <v>6311</v>
      </c>
      <c r="B11" s="36" t="s">
        <v>1437</v>
      </c>
      <c r="C11" s="153">
        <v>135433.06</v>
      </c>
      <c r="D11" s="68">
        <f>C11/7.5345</f>
        <v>17975.056075386554</v>
      </c>
      <c r="E11" s="68">
        <v>0</v>
      </c>
      <c r="F11" s="68">
        <v>9972.94</v>
      </c>
      <c r="G11" s="73" t="str">
        <f t="shared" si="1"/>
        <v>***</v>
      </c>
    </row>
    <row r="12" spans="1:8" ht="30">
      <c r="A12" s="66">
        <v>632</v>
      </c>
      <c r="B12" s="66" t="s">
        <v>1339</v>
      </c>
      <c r="C12" s="152">
        <f>C13</f>
        <v>465781.97</v>
      </c>
      <c r="D12" s="62">
        <f>D13</f>
        <v>61819.891167297093</v>
      </c>
      <c r="E12" s="62">
        <f t="shared" ref="E12:F12" si="3">E13</f>
        <v>10000</v>
      </c>
      <c r="F12" s="62">
        <f t="shared" si="3"/>
        <v>52452.06</v>
      </c>
      <c r="G12" s="72">
        <f t="shared" si="1"/>
        <v>5.2452059999999996</v>
      </c>
    </row>
    <row r="13" spans="1:8">
      <c r="A13" s="36">
        <v>6323</v>
      </c>
      <c r="B13" s="36" t="s">
        <v>1305</v>
      </c>
      <c r="C13" s="153">
        <v>465781.97</v>
      </c>
      <c r="D13" s="68">
        <f>C13/7.5345</f>
        <v>61819.891167297093</v>
      </c>
      <c r="E13" s="69">
        <v>10000</v>
      </c>
      <c r="F13" s="68">
        <v>52452.06</v>
      </c>
      <c r="G13" s="73">
        <f t="shared" si="1"/>
        <v>5.2452059999999996</v>
      </c>
    </row>
    <row r="14" spans="1:8" ht="30" hidden="1">
      <c r="A14" s="66">
        <v>633</v>
      </c>
      <c r="B14" s="66" t="s">
        <v>1387</v>
      </c>
      <c r="C14" s="152">
        <f>C15</f>
        <v>0</v>
      </c>
      <c r="D14" s="62"/>
      <c r="E14" s="62">
        <f t="shared" ref="E14:F14" si="4">E15</f>
        <v>0</v>
      </c>
      <c r="F14" s="62">
        <f t="shared" si="4"/>
        <v>0</v>
      </c>
      <c r="G14" s="72" t="str">
        <f t="shared" si="1"/>
        <v>***</v>
      </c>
    </row>
    <row r="15" spans="1:8" ht="30" hidden="1">
      <c r="A15" s="36">
        <v>6331</v>
      </c>
      <c r="B15" s="36" t="s">
        <v>1388</v>
      </c>
      <c r="C15" s="153">
        <v>0</v>
      </c>
      <c r="D15" s="68"/>
      <c r="E15" s="69">
        <v>0</v>
      </c>
      <c r="F15" s="68">
        <v>0</v>
      </c>
      <c r="G15" s="73" t="str">
        <f t="shared" si="1"/>
        <v>***</v>
      </c>
      <c r="H15" s="134"/>
    </row>
    <row r="16" spans="1:8" ht="30">
      <c r="A16" s="66">
        <v>636</v>
      </c>
      <c r="B16" s="66" t="s">
        <v>1441</v>
      </c>
      <c r="C16" s="152">
        <f>C17</f>
        <v>69744.600000000006</v>
      </c>
      <c r="D16" s="62">
        <f>D17</f>
        <v>9256.6991837547284</v>
      </c>
      <c r="E16" s="62">
        <f t="shared" ref="E16:F16" si="5">E17</f>
        <v>0</v>
      </c>
      <c r="F16" s="62">
        <f t="shared" si="5"/>
        <v>15636.14</v>
      </c>
      <c r="G16" s="72" t="str">
        <f t="shared" si="1"/>
        <v>***</v>
      </c>
    </row>
    <row r="17" spans="1:8" ht="30">
      <c r="A17" s="36">
        <v>6361</v>
      </c>
      <c r="B17" s="36" t="s">
        <v>1442</v>
      </c>
      <c r="C17" s="153">
        <v>69744.600000000006</v>
      </c>
      <c r="D17" s="68">
        <f>C17/7.5345</f>
        <v>9256.6991837547284</v>
      </c>
      <c r="E17" s="69">
        <v>0</v>
      </c>
      <c r="F17" s="68">
        <v>15636.14</v>
      </c>
      <c r="G17" s="73" t="str">
        <f t="shared" si="1"/>
        <v>***</v>
      </c>
    </row>
    <row r="18" spans="1:8">
      <c r="A18" s="66">
        <v>638</v>
      </c>
      <c r="B18" s="66" t="s">
        <v>1430</v>
      </c>
      <c r="C18" s="152">
        <f>C19</f>
        <v>32593.9</v>
      </c>
      <c r="D18" s="62">
        <f>D19</f>
        <v>4325.9539451854798</v>
      </c>
      <c r="E18" s="62">
        <f t="shared" ref="E18:F18" si="6">E19</f>
        <v>5645</v>
      </c>
      <c r="F18" s="62">
        <f t="shared" si="6"/>
        <v>1527.76</v>
      </c>
      <c r="G18" s="72">
        <f>IF(E18&lt;&gt;0,F18/E18,"***")</f>
        <v>0.27063950398582814</v>
      </c>
    </row>
    <row r="19" spans="1:8">
      <c r="A19" s="36">
        <v>6381</v>
      </c>
      <c r="B19" s="36" t="s">
        <v>1431</v>
      </c>
      <c r="C19" s="153">
        <v>32593.9</v>
      </c>
      <c r="D19" s="68">
        <f>C19/7.5345</f>
        <v>4325.9539451854798</v>
      </c>
      <c r="E19" s="69">
        <v>5645</v>
      </c>
      <c r="F19" s="68">
        <v>1527.76</v>
      </c>
      <c r="G19" s="73">
        <f>IF(E19&lt;&gt;0,F19/E19,"***")</f>
        <v>0.27063950398582814</v>
      </c>
    </row>
    <row r="20" spans="1:8" ht="30">
      <c r="A20" s="66">
        <v>639</v>
      </c>
      <c r="B20" s="66" t="s">
        <v>1340</v>
      </c>
      <c r="C20" s="152">
        <f>C21+C22</f>
        <v>167238.22</v>
      </c>
      <c r="D20" s="62">
        <f>D21+D22</f>
        <v>22196.326232663083</v>
      </c>
      <c r="E20" s="62">
        <f t="shared" ref="E20:F20" si="7">E21+E22</f>
        <v>139731</v>
      </c>
      <c r="F20" s="62">
        <f t="shared" si="7"/>
        <v>34976.119999999995</v>
      </c>
      <c r="G20" s="72">
        <f t="shared" si="1"/>
        <v>0.25031038209130396</v>
      </c>
      <c r="H20" s="76"/>
    </row>
    <row r="21" spans="1:8" ht="30">
      <c r="A21" s="36">
        <v>6391</v>
      </c>
      <c r="B21" s="36" t="s">
        <v>1306</v>
      </c>
      <c r="C21" s="153">
        <v>77140.34</v>
      </c>
      <c r="D21" s="68">
        <f>C21/7.5345</f>
        <v>10238.282566859114</v>
      </c>
      <c r="E21" s="69">
        <f>15663+119068+5000</f>
        <v>139731</v>
      </c>
      <c r="F21" s="68">
        <v>34319.379999999997</v>
      </c>
      <c r="G21" s="73">
        <f t="shared" si="1"/>
        <v>0.24561035131788936</v>
      </c>
      <c r="H21" s="76"/>
    </row>
    <row r="22" spans="1:8" ht="30">
      <c r="A22" s="36">
        <v>6393</v>
      </c>
      <c r="B22" s="36" t="s">
        <v>1336</v>
      </c>
      <c r="C22" s="153">
        <v>90097.88</v>
      </c>
      <c r="D22" s="68">
        <f>C22/7.5345</f>
        <v>11958.043665803969</v>
      </c>
      <c r="E22" s="69">
        <v>0</v>
      </c>
      <c r="F22" s="68">
        <v>656.74</v>
      </c>
      <c r="G22" s="73" t="str">
        <f t="shared" si="1"/>
        <v>***</v>
      </c>
    </row>
    <row r="23" spans="1:8">
      <c r="A23" s="66">
        <v>64</v>
      </c>
      <c r="B23" s="66" t="s">
        <v>1349</v>
      </c>
      <c r="C23" s="152">
        <f>C24+C28</f>
        <v>3319.32</v>
      </c>
      <c r="D23" s="62">
        <f>D24+D28</f>
        <v>440.54947242683647</v>
      </c>
      <c r="E23" s="62">
        <f t="shared" ref="E23:F23" si="8">E24+E28</f>
        <v>2323</v>
      </c>
      <c r="F23" s="62">
        <f t="shared" si="8"/>
        <v>5640.59</v>
      </c>
      <c r="G23" s="72">
        <f t="shared" si="1"/>
        <v>2.4281489453293155</v>
      </c>
    </row>
    <row r="24" spans="1:8">
      <c r="A24" s="66">
        <v>641</v>
      </c>
      <c r="B24" s="66" t="s">
        <v>1341</v>
      </c>
      <c r="C24" s="152">
        <f>C25+C26+C27</f>
        <v>3319.32</v>
      </c>
      <c r="D24" s="62">
        <f>D25+D26+D27</f>
        <v>440.54947242683647</v>
      </c>
      <c r="E24" s="62">
        <f t="shared" ref="E24:F24" si="9">E25+E26+E27</f>
        <v>2323</v>
      </c>
      <c r="F24" s="62">
        <f t="shared" si="9"/>
        <v>5640.59</v>
      </c>
      <c r="G24" s="72">
        <f t="shared" si="1"/>
        <v>2.4281489453293155</v>
      </c>
    </row>
    <row r="25" spans="1:8">
      <c r="A25" s="36">
        <v>6413</v>
      </c>
      <c r="B25" s="36" t="s">
        <v>1307</v>
      </c>
      <c r="C25" s="153">
        <v>340.55</v>
      </c>
      <c r="D25" s="68">
        <f>C25/7.5345</f>
        <v>45.198752405600899</v>
      </c>
      <c r="E25" s="69">
        <v>332</v>
      </c>
      <c r="F25" s="68">
        <v>0</v>
      </c>
      <c r="G25" s="73">
        <f t="shared" si="1"/>
        <v>0</v>
      </c>
    </row>
    <row r="26" spans="1:8">
      <c r="A26" s="36">
        <v>6414</v>
      </c>
      <c r="B26" s="36" t="s">
        <v>1308</v>
      </c>
      <c r="C26" s="153">
        <v>2540.58</v>
      </c>
      <c r="D26" s="68">
        <f>C26/7.5345</f>
        <v>337.19291260203062</v>
      </c>
      <c r="E26" s="69">
        <v>1491</v>
      </c>
      <c r="F26" s="68">
        <v>5633.99</v>
      </c>
      <c r="G26" s="73">
        <f t="shared" si="1"/>
        <v>3.7786653252850435</v>
      </c>
    </row>
    <row r="27" spans="1:8" ht="30">
      <c r="A27" s="36">
        <v>6415</v>
      </c>
      <c r="B27" s="36" t="s">
        <v>1309</v>
      </c>
      <c r="C27" s="153">
        <v>438.19</v>
      </c>
      <c r="D27" s="68">
        <f>C27/7.5345</f>
        <v>58.157807419204985</v>
      </c>
      <c r="E27" s="69">
        <v>500</v>
      </c>
      <c r="F27" s="68">
        <v>6.6</v>
      </c>
      <c r="G27" s="73">
        <f t="shared" si="1"/>
        <v>1.32E-2</v>
      </c>
    </row>
    <row r="28" spans="1:8" hidden="1">
      <c r="A28" s="66">
        <v>642</v>
      </c>
      <c r="B28" s="66" t="s">
        <v>1432</v>
      </c>
      <c r="C28" s="152">
        <f>C29</f>
        <v>0</v>
      </c>
      <c r="D28" s="62">
        <f>D29</f>
        <v>0</v>
      </c>
      <c r="E28" s="62">
        <f t="shared" ref="E28:F28" si="10">E29</f>
        <v>0</v>
      </c>
      <c r="F28" s="62">
        <f t="shared" si="10"/>
        <v>0</v>
      </c>
      <c r="G28" s="72" t="str">
        <f t="shared" ref="G28:G29" si="11">IF(E28&lt;&gt;0,F28/E28,"***")</f>
        <v>***</v>
      </c>
    </row>
    <row r="29" spans="1:8" ht="30" hidden="1">
      <c r="A29" s="36">
        <v>6425</v>
      </c>
      <c r="B29" s="36" t="s">
        <v>1433</v>
      </c>
      <c r="C29" s="153">
        <v>0</v>
      </c>
      <c r="D29" s="68">
        <f>C29/7.5345</f>
        <v>0</v>
      </c>
      <c r="E29" s="69">
        <v>0</v>
      </c>
      <c r="F29" s="68">
        <v>0</v>
      </c>
      <c r="G29" s="73" t="str">
        <f t="shared" si="11"/>
        <v>***</v>
      </c>
    </row>
    <row r="30" spans="1:8" ht="30">
      <c r="A30" s="66">
        <v>65</v>
      </c>
      <c r="B30" s="66" t="s">
        <v>1350</v>
      </c>
      <c r="C30" s="152">
        <f>C31</f>
        <v>4189402.39</v>
      </c>
      <c r="D30" s="62">
        <f>D31</f>
        <v>556029.25077974645</v>
      </c>
      <c r="E30" s="62">
        <f t="shared" ref="E30:F30" si="12">E31</f>
        <v>2528370</v>
      </c>
      <c r="F30" s="62">
        <f t="shared" si="12"/>
        <v>560920.63</v>
      </c>
      <c r="G30" s="72">
        <f t="shared" si="1"/>
        <v>0.22185069036572971</v>
      </c>
    </row>
    <row r="31" spans="1:8">
      <c r="A31" s="66">
        <v>652</v>
      </c>
      <c r="B31" s="66" t="s">
        <v>1342</v>
      </c>
      <c r="C31" s="152">
        <f>C32</f>
        <v>4189402.39</v>
      </c>
      <c r="D31" s="62">
        <f>D32</f>
        <v>556029.25077974645</v>
      </c>
      <c r="E31" s="62">
        <f t="shared" ref="E31:F31" si="13">E32</f>
        <v>2528370</v>
      </c>
      <c r="F31" s="62">
        <f t="shared" si="13"/>
        <v>560920.63</v>
      </c>
      <c r="G31" s="72">
        <f t="shared" si="1"/>
        <v>0.22185069036572971</v>
      </c>
    </row>
    <row r="32" spans="1:8">
      <c r="A32" s="36">
        <v>6526</v>
      </c>
      <c r="B32" s="36" t="s">
        <v>1303</v>
      </c>
      <c r="C32" s="153">
        <v>4189402.39</v>
      </c>
      <c r="D32" s="68">
        <f>C32/7.5345</f>
        <v>556029.25077974645</v>
      </c>
      <c r="E32" s="69">
        <f>3982+172540+3982+63710+11282+17260+700+146000+2102278+6636</f>
        <v>2528370</v>
      </c>
      <c r="F32" s="68">
        <v>560920.63</v>
      </c>
      <c r="G32" s="73">
        <f t="shared" si="1"/>
        <v>0.22185069036572971</v>
      </c>
    </row>
    <row r="33" spans="1:8" ht="30">
      <c r="A33" s="66">
        <v>66</v>
      </c>
      <c r="B33" s="66" t="s">
        <v>1351</v>
      </c>
      <c r="C33" s="152">
        <f>C34+C37</f>
        <v>872398.56</v>
      </c>
      <c r="D33" s="62">
        <f>D34+D37</f>
        <v>115787.18694007566</v>
      </c>
      <c r="E33" s="62">
        <f t="shared" ref="E33:F33" si="14">E34+E37</f>
        <v>959971</v>
      </c>
      <c r="F33" s="62">
        <f t="shared" si="14"/>
        <v>283996.56</v>
      </c>
      <c r="G33" s="72">
        <f t="shared" si="1"/>
        <v>0.29583868679366354</v>
      </c>
    </row>
    <row r="34" spans="1:8" ht="30">
      <c r="A34" s="66">
        <v>661</v>
      </c>
      <c r="B34" s="66" t="s">
        <v>1343</v>
      </c>
      <c r="C34" s="152">
        <f>C35+C36</f>
        <v>769498.52</v>
      </c>
      <c r="D34" s="62">
        <f>D35+D36</f>
        <v>102130.00464529829</v>
      </c>
      <c r="E34" s="62">
        <f t="shared" ref="E34:F34" si="15">E35+E36</f>
        <v>270755</v>
      </c>
      <c r="F34" s="62">
        <f t="shared" si="15"/>
        <v>261531.18000000002</v>
      </c>
      <c r="G34" s="72">
        <f t="shared" si="1"/>
        <v>0.96593296522686567</v>
      </c>
    </row>
    <row r="35" spans="1:8" s="46" customFormat="1">
      <c r="A35" s="36">
        <v>6614</v>
      </c>
      <c r="B35" s="36" t="s">
        <v>1364</v>
      </c>
      <c r="C35" s="154">
        <v>24093.64</v>
      </c>
      <c r="D35" s="81">
        <f>C35/7.5345</f>
        <v>3197.7755657309708</v>
      </c>
      <c r="E35" s="69">
        <f>4645+664</f>
        <v>5309</v>
      </c>
      <c r="F35" s="68">
        <v>956.95</v>
      </c>
      <c r="G35" s="73">
        <f t="shared" si="1"/>
        <v>0.18025051798832173</v>
      </c>
    </row>
    <row r="36" spans="1:8">
      <c r="A36" s="36">
        <v>6615</v>
      </c>
      <c r="B36" s="36" t="s">
        <v>1310</v>
      </c>
      <c r="C36" s="154">
        <v>745404.88</v>
      </c>
      <c r="D36" s="81">
        <f>C36/7.5345</f>
        <v>98932.229079567318</v>
      </c>
      <c r="E36" s="69">
        <v>265446</v>
      </c>
      <c r="F36" s="68">
        <v>260574.23</v>
      </c>
      <c r="G36" s="73">
        <f t="shared" si="1"/>
        <v>0.98164685096027071</v>
      </c>
    </row>
    <row r="37" spans="1:8" ht="30">
      <c r="A37" s="66">
        <v>663</v>
      </c>
      <c r="B37" s="66" t="s">
        <v>1344</v>
      </c>
      <c r="C37" s="152">
        <f>C38+C39</f>
        <v>102900.04</v>
      </c>
      <c r="D37" s="62">
        <f>D38+D39</f>
        <v>13657.182294777356</v>
      </c>
      <c r="E37" s="62">
        <f t="shared" ref="E37:F37" si="16">E38+E39</f>
        <v>689216</v>
      </c>
      <c r="F37" s="62">
        <f t="shared" si="16"/>
        <v>22465.38</v>
      </c>
      <c r="G37" s="72">
        <f t="shared" si="1"/>
        <v>3.2595557851239673E-2</v>
      </c>
    </row>
    <row r="38" spans="1:8">
      <c r="A38" s="36">
        <v>6631</v>
      </c>
      <c r="B38" s="36" t="s">
        <v>1311</v>
      </c>
      <c r="C38" s="153">
        <v>102900.04</v>
      </c>
      <c r="D38" s="68">
        <f>C38/7.5345</f>
        <v>13657.182294777356</v>
      </c>
      <c r="E38" s="69">
        <f>5030+684186</f>
        <v>689216</v>
      </c>
      <c r="F38" s="68">
        <v>22125.38</v>
      </c>
      <c r="G38" s="73">
        <f t="shared" si="1"/>
        <v>3.2102243708793762E-2</v>
      </c>
    </row>
    <row r="39" spans="1:8">
      <c r="A39" s="36">
        <v>6632</v>
      </c>
      <c r="B39" s="36" t="s">
        <v>1337</v>
      </c>
      <c r="C39" s="153">
        <v>0</v>
      </c>
      <c r="D39" s="68">
        <f>C39/7.5345</f>
        <v>0</v>
      </c>
      <c r="E39" s="69">
        <v>0</v>
      </c>
      <c r="F39" s="68">
        <v>340</v>
      </c>
      <c r="G39" s="73" t="str">
        <f t="shared" si="1"/>
        <v>***</v>
      </c>
    </row>
    <row r="40" spans="1:8" ht="30">
      <c r="A40" s="66">
        <v>67</v>
      </c>
      <c r="B40" s="66" t="s">
        <v>1352</v>
      </c>
      <c r="C40" s="152">
        <f>C41</f>
        <v>24737948.66</v>
      </c>
      <c r="D40" s="62">
        <f>D41</f>
        <v>3283290.0205720351</v>
      </c>
      <c r="E40" s="62">
        <f t="shared" ref="E40:F40" si="17">E41</f>
        <v>7978399</v>
      </c>
      <c r="F40" s="62">
        <f t="shared" si="17"/>
        <v>3806995.35</v>
      </c>
      <c r="G40" s="72">
        <f t="shared" si="1"/>
        <v>0.47716281800396299</v>
      </c>
    </row>
    <row r="41" spans="1:8" ht="30">
      <c r="A41" s="66">
        <v>671</v>
      </c>
      <c r="B41" s="66" t="s">
        <v>1345</v>
      </c>
      <c r="C41" s="152">
        <f>C42+C43</f>
        <v>24737948.66</v>
      </c>
      <c r="D41" s="62">
        <f>D42+D43</f>
        <v>3283290.0205720351</v>
      </c>
      <c r="E41" s="62">
        <f t="shared" ref="E41:F41" si="18">E42+E43</f>
        <v>7978399</v>
      </c>
      <c r="F41" s="62">
        <f t="shared" si="18"/>
        <v>3806995.35</v>
      </c>
      <c r="G41" s="72">
        <f t="shared" si="1"/>
        <v>0.47716281800396299</v>
      </c>
    </row>
    <row r="42" spans="1:8" ht="30">
      <c r="A42" s="36">
        <v>6711</v>
      </c>
      <c r="B42" s="36" t="s">
        <v>1345</v>
      </c>
      <c r="C42" s="153">
        <v>24737948.66</v>
      </c>
      <c r="D42" s="68">
        <f>C42/7.5345</f>
        <v>3283290.0205720351</v>
      </c>
      <c r="E42" s="69">
        <f>1248289+6704972+25138</f>
        <v>7978399</v>
      </c>
      <c r="F42" s="68">
        <v>3806995.35</v>
      </c>
      <c r="G42" s="73">
        <f t="shared" si="1"/>
        <v>0.47716281800396299</v>
      </c>
    </row>
    <row r="43" spans="1:8" ht="30" hidden="1">
      <c r="A43" s="36">
        <v>6712</v>
      </c>
      <c r="B43" s="36" t="s">
        <v>1386</v>
      </c>
      <c r="C43" s="153">
        <v>0</v>
      </c>
      <c r="D43" s="68">
        <f>C43/7.5345</f>
        <v>0</v>
      </c>
      <c r="E43" s="69">
        <v>0</v>
      </c>
      <c r="F43" s="68">
        <v>0</v>
      </c>
      <c r="G43" s="73" t="str">
        <f t="shared" ref="G43" si="19">IF(E43&lt;&gt;0,F43/E43,"***")</f>
        <v>***</v>
      </c>
    </row>
    <row r="44" spans="1:8">
      <c r="A44" s="66">
        <v>68</v>
      </c>
      <c r="B44" s="66" t="s">
        <v>1389</v>
      </c>
      <c r="C44" s="152">
        <f>C45</f>
        <v>0</v>
      </c>
      <c r="D44" s="62">
        <f>D45</f>
        <v>0</v>
      </c>
      <c r="E44" s="62">
        <f t="shared" ref="E44:F44" si="20">E45</f>
        <v>0</v>
      </c>
      <c r="F44" s="62">
        <f t="shared" si="20"/>
        <v>1918.79</v>
      </c>
      <c r="G44" s="72" t="str">
        <f t="shared" ref="G44:G46" si="21">IF(E44&lt;&gt;0,F44/E44,"***")</f>
        <v>***</v>
      </c>
    </row>
    <row r="45" spans="1:8">
      <c r="A45" s="66">
        <v>683</v>
      </c>
      <c r="B45" s="66" t="s">
        <v>1304</v>
      </c>
      <c r="C45" s="152">
        <f>C46</f>
        <v>0</v>
      </c>
      <c r="D45" s="62">
        <f>D46</f>
        <v>0</v>
      </c>
      <c r="E45" s="62">
        <f t="shared" ref="E45:F45" si="22">E46</f>
        <v>0</v>
      </c>
      <c r="F45" s="62">
        <f t="shared" si="22"/>
        <v>1918.79</v>
      </c>
      <c r="G45" s="72" t="str">
        <f t="shared" si="21"/>
        <v>***</v>
      </c>
    </row>
    <row r="46" spans="1:8">
      <c r="A46" s="36">
        <v>6831</v>
      </c>
      <c r="B46" s="36" t="s">
        <v>1304</v>
      </c>
      <c r="C46" s="153">
        <v>0</v>
      </c>
      <c r="D46" s="68">
        <f>C46/7.5345</f>
        <v>0</v>
      </c>
      <c r="E46" s="69">
        <v>0</v>
      </c>
      <c r="F46" s="68">
        <v>1918.79</v>
      </c>
      <c r="G46" s="73" t="str">
        <f t="shared" si="21"/>
        <v>***</v>
      </c>
      <c r="H46" s="134"/>
    </row>
    <row r="47" spans="1:8">
      <c r="A47" s="66">
        <v>7</v>
      </c>
      <c r="B47" s="66" t="s">
        <v>1346</v>
      </c>
      <c r="C47" s="152">
        <f>C48</f>
        <v>5480</v>
      </c>
      <c r="D47" s="62">
        <f>D48</f>
        <v>727.32099011215075</v>
      </c>
      <c r="E47" s="62">
        <f t="shared" ref="E47:F47" si="23">E48</f>
        <v>2654</v>
      </c>
      <c r="F47" s="62">
        <f t="shared" si="23"/>
        <v>0</v>
      </c>
      <c r="G47" s="72">
        <f t="shared" si="1"/>
        <v>0</v>
      </c>
    </row>
    <row r="48" spans="1:8">
      <c r="A48" s="66">
        <v>72</v>
      </c>
      <c r="B48" s="66" t="s">
        <v>1347</v>
      </c>
      <c r="C48" s="152">
        <f>C49</f>
        <v>5480</v>
      </c>
      <c r="D48" s="62">
        <f>D49</f>
        <v>727.32099011215075</v>
      </c>
      <c r="E48" s="62">
        <f t="shared" ref="E48:F48" si="24">E49</f>
        <v>2654</v>
      </c>
      <c r="F48" s="62">
        <f t="shared" si="24"/>
        <v>0</v>
      </c>
      <c r="G48" s="72">
        <f t="shared" si="1"/>
        <v>0</v>
      </c>
    </row>
    <row r="49" spans="1:7" s="47" customFormat="1">
      <c r="A49" s="66">
        <v>722</v>
      </c>
      <c r="B49" s="66" t="s">
        <v>1348</v>
      </c>
      <c r="C49" s="152">
        <f>C50+C51</f>
        <v>5480</v>
      </c>
      <c r="D49" s="62">
        <f>D50+D51</f>
        <v>727.32099011215075</v>
      </c>
      <c r="E49" s="62">
        <f t="shared" ref="E49:F49" si="25">E50+E51</f>
        <v>2654</v>
      </c>
      <c r="F49" s="62">
        <f t="shared" si="25"/>
        <v>0</v>
      </c>
      <c r="G49" s="72">
        <f>IF(E49&lt;&gt;0,F49/E49,"***")</f>
        <v>0</v>
      </c>
    </row>
    <row r="50" spans="1:7">
      <c r="A50" s="36">
        <v>7221</v>
      </c>
      <c r="B50" s="36" t="s">
        <v>1380</v>
      </c>
      <c r="C50" s="153">
        <v>2000</v>
      </c>
      <c r="D50" s="68">
        <f>C50/7.5345</f>
        <v>265.44561682925212</v>
      </c>
      <c r="E50" s="69">
        <v>1327</v>
      </c>
      <c r="F50" s="68">
        <v>0</v>
      </c>
      <c r="G50" s="73">
        <f t="shared" si="1"/>
        <v>0</v>
      </c>
    </row>
    <row r="51" spans="1:7">
      <c r="A51" s="36">
        <v>7227</v>
      </c>
      <c r="B51" s="36" t="s">
        <v>1283</v>
      </c>
      <c r="C51" s="153">
        <v>3480</v>
      </c>
      <c r="D51" s="68">
        <f>C51/7.5345</f>
        <v>461.87537328289864</v>
      </c>
      <c r="E51" s="69">
        <v>1327</v>
      </c>
      <c r="F51" s="68">
        <v>0</v>
      </c>
      <c r="G51" s="73">
        <f t="shared" ref="G51" si="26">IF(E51&lt;&gt;0,F51/E51,"***")</f>
        <v>0</v>
      </c>
    </row>
    <row r="52" spans="1:7">
      <c r="A52" s="67"/>
      <c r="B52" s="67" t="s">
        <v>1313</v>
      </c>
      <c r="C52" s="155">
        <f>C8+C47</f>
        <v>30679340.68</v>
      </c>
      <c r="D52" s="61">
        <f>D8+D47</f>
        <v>4071848.2553586834</v>
      </c>
      <c r="E52" s="61">
        <f>E8+E47</f>
        <v>11627093</v>
      </c>
      <c r="F52" s="61">
        <f>F8+F47</f>
        <v>4774036.9400000004</v>
      </c>
      <c r="G52" s="74">
        <f t="shared" si="1"/>
        <v>0.41059591937554818</v>
      </c>
    </row>
    <row r="54" spans="1:7">
      <c r="B54" s="149"/>
      <c r="C54" s="156"/>
      <c r="D54" s="150"/>
      <c r="E54" s="150"/>
      <c r="F54" s="150"/>
    </row>
  </sheetData>
  <mergeCells count="3">
    <mergeCell ref="A5:F5"/>
    <mergeCell ref="A4:F4"/>
    <mergeCell ref="A2:G2"/>
  </mergeCells>
  <pageMargins left="0.70866141732283472" right="0.70866141732283472" top="0.74803149606299213" bottom="0.74803149606299213" header="0.31496062992125984" footer="0.31496062992125984"/>
  <pageSetup paperSize="8" scale="9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2:H94"/>
  <sheetViews>
    <sheetView topLeftCell="A80" zoomScale="160" zoomScaleNormal="160" workbookViewId="0">
      <selection activeCell="C98" sqref="C98"/>
    </sheetView>
  </sheetViews>
  <sheetFormatPr defaultRowHeight="15"/>
  <cols>
    <col min="1" max="1" width="7" customWidth="1"/>
    <col min="2" max="2" width="50.42578125" customWidth="1"/>
    <col min="3" max="3" width="16.140625" style="157" customWidth="1"/>
    <col min="4" max="4" width="16.140625" style="46" customWidth="1"/>
    <col min="5" max="5" width="19" customWidth="1"/>
    <col min="6" max="6" width="16" customWidth="1"/>
    <col min="7" max="7" width="12.42578125" customWidth="1"/>
    <col min="8" max="8" width="12.140625" bestFit="1" customWidth="1"/>
  </cols>
  <sheetData>
    <row r="2" spans="1:8">
      <c r="A2" s="209" t="s">
        <v>1403</v>
      </c>
      <c r="B2" s="209"/>
      <c r="C2" s="209"/>
      <c r="D2" s="209"/>
      <c r="E2" s="209"/>
      <c r="F2" s="209"/>
      <c r="G2" s="209"/>
    </row>
    <row r="3" spans="1:8">
      <c r="A3" s="71"/>
      <c r="B3" s="71"/>
      <c r="C3" s="175"/>
      <c r="D3" s="147"/>
      <c r="E3" s="71"/>
      <c r="F3" s="71"/>
      <c r="G3" s="71"/>
    </row>
    <row r="4" spans="1:8">
      <c r="A4" s="208" t="s">
        <v>1404</v>
      </c>
      <c r="B4" s="208"/>
      <c r="C4" s="208"/>
      <c r="D4" s="208"/>
      <c r="E4" s="208"/>
      <c r="F4" s="208"/>
    </row>
    <row r="5" spans="1:8">
      <c r="A5" s="75"/>
      <c r="B5" s="75"/>
      <c r="C5" s="172"/>
      <c r="D5" s="174"/>
      <c r="E5" s="75"/>
      <c r="F5" s="75"/>
    </row>
    <row r="6" spans="1:8" ht="45">
      <c r="A6" s="65" t="s">
        <v>1302</v>
      </c>
      <c r="B6" s="65" t="s">
        <v>1421</v>
      </c>
      <c r="C6" s="148" t="s">
        <v>1498</v>
      </c>
      <c r="D6" s="59" t="s">
        <v>1502</v>
      </c>
      <c r="E6" s="59" t="s">
        <v>1499</v>
      </c>
      <c r="F6" s="59" t="s">
        <v>1500</v>
      </c>
      <c r="G6" s="59" t="s">
        <v>1501</v>
      </c>
    </row>
    <row r="7" spans="1:8">
      <c r="A7" s="65">
        <v>1</v>
      </c>
      <c r="B7" s="65">
        <v>2</v>
      </c>
      <c r="C7" s="148">
        <v>3</v>
      </c>
      <c r="D7" s="59">
        <v>4</v>
      </c>
      <c r="E7" s="58">
        <v>5</v>
      </c>
      <c r="F7" s="59">
        <v>6</v>
      </c>
      <c r="G7" s="59">
        <v>7</v>
      </c>
    </row>
    <row r="8" spans="1:8">
      <c r="A8" s="66">
        <v>3</v>
      </c>
      <c r="B8" s="66" t="s">
        <v>1326</v>
      </c>
      <c r="C8" s="152">
        <f>C9+C18+C50+C55+C58+C61+C66</f>
        <v>31703340.489999995</v>
      </c>
      <c r="D8" s="62">
        <f>D9+D18+D50+D55+D58+D61+D66</f>
        <v>4207756.3859579274</v>
      </c>
      <c r="E8" s="62">
        <f>E9+E18+E50+E55+E58+E61+E66</f>
        <v>11642409</v>
      </c>
      <c r="F8" s="62">
        <f>F9+F18+F50+F55+F58+F61+F66</f>
        <v>4840417.4700000007</v>
      </c>
      <c r="G8" s="72">
        <f>IF(E8&lt;&gt;0,F8/E8,"***")</f>
        <v>0.41575738062457696</v>
      </c>
    </row>
    <row r="9" spans="1:8">
      <c r="A9" s="66">
        <v>31</v>
      </c>
      <c r="B9" s="66" t="s">
        <v>1298</v>
      </c>
      <c r="C9" s="152">
        <f>C10+C14+C16</f>
        <v>22627595.039999999</v>
      </c>
      <c r="D9" s="62">
        <f>D10+D14+D16</f>
        <v>3003197.9613776626</v>
      </c>
      <c r="E9" s="62">
        <f>E10+E14+E16</f>
        <v>8590224</v>
      </c>
      <c r="F9" s="62">
        <f>F10+F14+F16</f>
        <v>3539674.4099999997</v>
      </c>
      <c r="G9" s="72">
        <f t="shared" ref="G9:G73" si="0">IF(E9&lt;&gt;0,F9/E9,"***")</f>
        <v>0.41205845272486485</v>
      </c>
    </row>
    <row r="10" spans="1:8">
      <c r="A10" s="66">
        <v>311</v>
      </c>
      <c r="B10" s="66" t="s">
        <v>1354</v>
      </c>
      <c r="C10" s="152">
        <f>C11+C12+C13</f>
        <v>18321673.899999999</v>
      </c>
      <c r="D10" s="62">
        <f>D11+D12+D13</f>
        <v>2431704.0148649542</v>
      </c>
      <c r="E10" s="62">
        <f>E11+E12+E13</f>
        <v>6946330</v>
      </c>
      <c r="F10" s="62">
        <f>F11+F12+F13</f>
        <v>2861401.7699999996</v>
      </c>
      <c r="G10" s="72">
        <f t="shared" si="0"/>
        <v>0.41193000764432436</v>
      </c>
      <c r="H10" s="195"/>
    </row>
    <row r="11" spans="1:8" s="82" customFormat="1">
      <c r="A11" s="36">
        <v>3111</v>
      </c>
      <c r="B11" s="36" t="s">
        <v>1285</v>
      </c>
      <c r="C11" s="153">
        <v>18321673.899999999</v>
      </c>
      <c r="D11" s="68">
        <f>C11/7.5345</f>
        <v>2431704.0148649542</v>
      </c>
      <c r="E11" s="68">
        <v>6946330</v>
      </c>
      <c r="F11" s="68">
        <f>1950264.72+328845.6+582291.45</f>
        <v>2861401.7699999996</v>
      </c>
      <c r="G11" s="101">
        <f t="shared" si="0"/>
        <v>0.41193000764432436</v>
      </c>
    </row>
    <row r="12" spans="1:8" s="82" customFormat="1" hidden="1">
      <c r="A12" s="36">
        <v>3112</v>
      </c>
      <c r="B12" s="36" t="s">
        <v>1365</v>
      </c>
      <c r="C12" s="153">
        <v>0</v>
      </c>
      <c r="D12" s="68">
        <f t="shared" ref="D12:D13" si="1">C12/7.5345</f>
        <v>0</v>
      </c>
      <c r="E12" s="68">
        <v>0</v>
      </c>
      <c r="F12" s="68">
        <v>0</v>
      </c>
      <c r="G12" s="101" t="str">
        <f t="shared" si="0"/>
        <v>***</v>
      </c>
    </row>
    <row r="13" spans="1:8" s="82" customFormat="1" hidden="1">
      <c r="A13" s="36">
        <v>3113</v>
      </c>
      <c r="B13" s="36" t="s">
        <v>1373</v>
      </c>
      <c r="C13" s="153">
        <v>0</v>
      </c>
      <c r="D13" s="68">
        <f t="shared" si="1"/>
        <v>0</v>
      </c>
      <c r="E13" s="68">
        <v>0</v>
      </c>
      <c r="F13" s="68">
        <v>0</v>
      </c>
      <c r="G13" s="101" t="str">
        <f t="shared" ref="G13" si="2">IF(E13&lt;&gt;0,F13/E13,"***")</f>
        <v>***</v>
      </c>
    </row>
    <row r="14" spans="1:8">
      <c r="A14" s="66">
        <v>312</v>
      </c>
      <c r="B14" s="66" t="s">
        <v>1286</v>
      </c>
      <c r="C14" s="152">
        <f>C15</f>
        <v>1279616.93</v>
      </c>
      <c r="D14" s="62">
        <f>D15</f>
        <v>169834.35264450195</v>
      </c>
      <c r="E14" s="62">
        <f t="shared" ref="E14:F14" si="3">E15</f>
        <v>577309</v>
      </c>
      <c r="F14" s="62">
        <f t="shared" si="3"/>
        <v>210425.35</v>
      </c>
      <c r="G14" s="72">
        <f t="shared" si="0"/>
        <v>0.364493451513834</v>
      </c>
    </row>
    <row r="15" spans="1:8" s="82" customFormat="1">
      <c r="A15" s="36">
        <v>3121</v>
      </c>
      <c r="B15" s="36" t="s">
        <v>1286</v>
      </c>
      <c r="C15" s="153">
        <v>1279616.93</v>
      </c>
      <c r="D15" s="68">
        <f>C15/7.5345</f>
        <v>169834.35264450195</v>
      </c>
      <c r="E15" s="68">
        <v>577309</v>
      </c>
      <c r="F15" s="68">
        <v>210425.35</v>
      </c>
      <c r="G15" s="101">
        <f t="shared" si="0"/>
        <v>0.364493451513834</v>
      </c>
    </row>
    <row r="16" spans="1:8">
      <c r="A16" s="66">
        <v>313</v>
      </c>
      <c r="B16" s="66" t="s">
        <v>1299</v>
      </c>
      <c r="C16" s="152">
        <f>C17</f>
        <v>3026304.21</v>
      </c>
      <c r="D16" s="62">
        <f>D17</f>
        <v>401659.5938682062</v>
      </c>
      <c r="E16" s="62">
        <f t="shared" ref="E16:F16" si="4">E17</f>
        <v>1066585</v>
      </c>
      <c r="F16" s="62">
        <f t="shared" si="4"/>
        <v>467847.29</v>
      </c>
      <c r="G16" s="72">
        <f t="shared" si="0"/>
        <v>0.43864041778198642</v>
      </c>
    </row>
    <row r="17" spans="1:7" s="82" customFormat="1">
      <c r="A17" s="36">
        <v>3132</v>
      </c>
      <c r="B17" s="36" t="s">
        <v>1325</v>
      </c>
      <c r="C17" s="153">
        <v>3026304.21</v>
      </c>
      <c r="D17" s="68">
        <f>C17/7.5345</f>
        <v>401659.5938682062</v>
      </c>
      <c r="E17" s="68">
        <f>800243+225427+3738+37177</f>
        <v>1066585</v>
      </c>
      <c r="F17" s="68">
        <v>467847.29</v>
      </c>
      <c r="G17" s="101">
        <f t="shared" si="0"/>
        <v>0.43864041778198642</v>
      </c>
    </row>
    <row r="18" spans="1:7">
      <c r="A18" s="66">
        <v>32</v>
      </c>
      <c r="B18" s="66" t="s">
        <v>1300</v>
      </c>
      <c r="C18" s="152">
        <f>C19+C24+C31+C41+C43</f>
        <v>8884538.6499999985</v>
      </c>
      <c r="D18" s="62">
        <f>D19+D24+D31+D41+D43</f>
        <v>1179180.9210962902</v>
      </c>
      <c r="E18" s="62">
        <f t="shared" ref="E18:F18" si="5">E19+E24+E31+E41+E43</f>
        <v>2924868</v>
      </c>
      <c r="F18" s="62">
        <f t="shared" si="5"/>
        <v>1263696.67</v>
      </c>
      <c r="G18" s="72">
        <f t="shared" si="0"/>
        <v>0.43205254732863158</v>
      </c>
    </row>
    <row r="19" spans="1:7">
      <c r="A19" s="66">
        <v>321</v>
      </c>
      <c r="B19" s="66" t="s">
        <v>1301</v>
      </c>
      <c r="C19" s="152">
        <f>C20+C21+C22+C23</f>
        <v>2285290.36</v>
      </c>
      <c r="D19" s="62">
        <f>D20+D21+D22+D23</f>
        <v>303310.15462207177</v>
      </c>
      <c r="E19" s="62">
        <f t="shared" ref="E19:F19" si="6">E20+E21+E22+E23</f>
        <v>662713</v>
      </c>
      <c r="F19" s="62">
        <f t="shared" si="6"/>
        <v>336976.25</v>
      </c>
      <c r="G19" s="72">
        <f t="shared" si="0"/>
        <v>0.50847991513671831</v>
      </c>
    </row>
    <row r="20" spans="1:7" s="82" customFormat="1">
      <c r="A20" s="36">
        <v>3211</v>
      </c>
      <c r="B20" s="36" t="s">
        <v>1261</v>
      </c>
      <c r="C20" s="153">
        <v>962553.07</v>
      </c>
      <c r="D20" s="68">
        <f>C20/7.5345</f>
        <v>127752.74669852013</v>
      </c>
      <c r="E20" s="68">
        <f>3982+7963+9291+7963+7963+15927+3982+6636+5309+6636+3982+18581+7963+7963+1018+3982+664+1327+4645+50769+2058</f>
        <v>178604</v>
      </c>
      <c r="F20" s="68">
        <v>141729.4</v>
      </c>
      <c r="G20" s="101">
        <f t="shared" si="0"/>
        <v>0.7935398983225459</v>
      </c>
    </row>
    <row r="21" spans="1:7" s="82" customFormat="1">
      <c r="A21" s="36">
        <v>3212</v>
      </c>
      <c r="B21" s="36" t="s">
        <v>1262</v>
      </c>
      <c r="C21" s="153">
        <v>1036013.65</v>
      </c>
      <c r="D21" s="68">
        <f t="shared" ref="D21:D23" si="7">C21/7.5345</f>
        <v>137502.64118388743</v>
      </c>
      <c r="E21" s="68">
        <f>362052+66361</f>
        <v>428413</v>
      </c>
      <c r="F21" s="68">
        <v>159787.41</v>
      </c>
      <c r="G21" s="101">
        <f t="shared" si="0"/>
        <v>0.37297516648654455</v>
      </c>
    </row>
    <row r="22" spans="1:7" s="82" customFormat="1">
      <c r="A22" s="36">
        <v>3213</v>
      </c>
      <c r="B22" s="36" t="s">
        <v>1263</v>
      </c>
      <c r="C22" s="153">
        <v>286723.64</v>
      </c>
      <c r="D22" s="68">
        <f t="shared" si="7"/>
        <v>38054.766739664214</v>
      </c>
      <c r="E22" s="68">
        <f>46453+3982+1000+3000+1062-4801</f>
        <v>50696</v>
      </c>
      <c r="F22" s="68">
        <v>29532.83</v>
      </c>
      <c r="G22" s="101">
        <f t="shared" si="0"/>
        <v>0.58254753826731898</v>
      </c>
    </row>
    <row r="23" spans="1:7" s="82" customFormat="1">
      <c r="A23" s="36">
        <v>3214</v>
      </c>
      <c r="B23" s="36" t="s">
        <v>1405</v>
      </c>
      <c r="C23" s="153">
        <v>0</v>
      </c>
      <c r="D23" s="68">
        <f t="shared" si="7"/>
        <v>0</v>
      </c>
      <c r="E23" s="68">
        <v>5000</v>
      </c>
      <c r="F23" s="68">
        <v>5926.61</v>
      </c>
      <c r="G23" s="101">
        <f t="shared" ref="G23" si="8">IF(E23&lt;&gt;0,F23/E23,"***")</f>
        <v>1.185322</v>
      </c>
    </row>
    <row r="24" spans="1:7">
      <c r="A24" s="66">
        <v>322</v>
      </c>
      <c r="B24" s="66" t="s">
        <v>1314</v>
      </c>
      <c r="C24" s="152">
        <f>C25+C26+C27+C28+C29+C30</f>
        <v>1246349.8799999999</v>
      </c>
      <c r="D24" s="62">
        <f>D25+D26+D27+D28+D29+D30</f>
        <v>165419.05634083218</v>
      </c>
      <c r="E24" s="62">
        <f t="shared" ref="E24:F24" si="9">E25+E26+E27+E28+E29+E30</f>
        <v>338842</v>
      </c>
      <c r="F24" s="62">
        <f t="shared" si="9"/>
        <v>126289.8</v>
      </c>
      <c r="G24" s="72">
        <f t="shared" si="0"/>
        <v>0.37270999462876503</v>
      </c>
    </row>
    <row r="25" spans="1:7" s="82" customFormat="1">
      <c r="A25" s="36">
        <v>3221</v>
      </c>
      <c r="B25" s="36" t="s">
        <v>1264</v>
      </c>
      <c r="C25" s="153">
        <v>276504.94</v>
      </c>
      <c r="D25" s="68">
        <f>C25/7.5345</f>
        <v>36698.512177317672</v>
      </c>
      <c r="E25" s="68">
        <v>80032</v>
      </c>
      <c r="F25" s="68">
        <v>35253.019999999997</v>
      </c>
      <c r="G25" s="101">
        <f t="shared" si="0"/>
        <v>0.44048655537784881</v>
      </c>
    </row>
    <row r="26" spans="1:7" s="82" customFormat="1">
      <c r="A26" s="36">
        <v>3222</v>
      </c>
      <c r="B26" s="36" t="s">
        <v>1265</v>
      </c>
      <c r="C26" s="153">
        <v>8020.47</v>
      </c>
      <c r="D26" s="68">
        <f t="shared" ref="D26:D30" si="10">C26/7.5345</f>
        <v>1064.4993032052557</v>
      </c>
      <c r="E26" s="68">
        <f>3982+664</f>
        <v>4646</v>
      </c>
      <c r="F26" s="68">
        <v>755.19</v>
      </c>
      <c r="G26" s="101">
        <f t="shared" si="0"/>
        <v>0.16254627636676713</v>
      </c>
    </row>
    <row r="27" spans="1:7" s="82" customFormat="1">
      <c r="A27" s="36">
        <v>3223</v>
      </c>
      <c r="B27" s="36" t="s">
        <v>1266</v>
      </c>
      <c r="C27" s="153">
        <v>880167.56</v>
      </c>
      <c r="D27" s="68">
        <f t="shared" si="10"/>
        <v>116818.31043864888</v>
      </c>
      <c r="E27" s="68">
        <f>106178+106178+10618</f>
        <v>222974</v>
      </c>
      <c r="F27" s="68">
        <v>78221.919999999998</v>
      </c>
      <c r="G27" s="101">
        <f t="shared" si="0"/>
        <v>0.35081184353332673</v>
      </c>
    </row>
    <row r="28" spans="1:7" s="82" customFormat="1">
      <c r="A28" s="36">
        <v>3224</v>
      </c>
      <c r="B28" s="36" t="s">
        <v>1267</v>
      </c>
      <c r="C28" s="153">
        <v>11761.15</v>
      </c>
      <c r="D28" s="68">
        <f t="shared" si="10"/>
        <v>1560.9728581856791</v>
      </c>
      <c r="E28" s="68">
        <f>2654+1991+3318</f>
        <v>7963</v>
      </c>
      <c r="F28" s="68">
        <v>3927.13</v>
      </c>
      <c r="G28" s="101">
        <f t="shared" si="0"/>
        <v>0.49317217129222657</v>
      </c>
    </row>
    <row r="29" spans="1:7" s="82" customFormat="1">
      <c r="A29" s="36">
        <v>3225</v>
      </c>
      <c r="B29" s="36" t="s">
        <v>1406</v>
      </c>
      <c r="C29" s="153">
        <v>69175.759999999995</v>
      </c>
      <c r="D29" s="68">
        <f t="shared" si="10"/>
        <v>9181.2011414161516</v>
      </c>
      <c r="E29" s="68">
        <v>21236</v>
      </c>
      <c r="F29" s="68">
        <v>8132.54</v>
      </c>
      <c r="G29" s="101">
        <f t="shared" ref="G29" si="11">IF(E29&lt;&gt;0,F29/E29,"***")</f>
        <v>0.3829600678093803</v>
      </c>
    </row>
    <row r="30" spans="1:7" s="82" customFormat="1">
      <c r="A30" s="36">
        <v>3227</v>
      </c>
      <c r="B30" s="36" t="s">
        <v>1292</v>
      </c>
      <c r="C30" s="153">
        <v>720</v>
      </c>
      <c r="D30" s="68">
        <f t="shared" si="10"/>
        <v>95.560422058530747</v>
      </c>
      <c r="E30" s="68">
        <v>1991</v>
      </c>
      <c r="F30" s="68">
        <v>0</v>
      </c>
      <c r="G30" s="101">
        <f t="shared" si="0"/>
        <v>0</v>
      </c>
    </row>
    <row r="31" spans="1:7">
      <c r="A31" s="66">
        <v>323</v>
      </c>
      <c r="B31" s="66" t="s">
        <v>1315</v>
      </c>
      <c r="C31" s="152">
        <f>C32+C33+C34+C35+C36+C37+C38+C39+C40</f>
        <v>3898843.05</v>
      </c>
      <c r="D31" s="62">
        <f>D32+D33+D34+D35+D36+D37+D38+D39+D40</f>
        <v>517465.39916384616</v>
      </c>
      <c r="E31" s="62">
        <f t="shared" ref="E31:F31" si="12">E32+E33+E34+E35+E36+E37+E38+E39+E40</f>
        <v>1477396</v>
      </c>
      <c r="F31" s="62">
        <f t="shared" si="12"/>
        <v>599478.17000000004</v>
      </c>
      <c r="G31" s="72">
        <f t="shared" si="0"/>
        <v>0.40576674771016036</v>
      </c>
    </row>
    <row r="32" spans="1:7" s="82" customFormat="1">
      <c r="A32" s="36">
        <v>3231</v>
      </c>
      <c r="B32" s="36" t="s">
        <v>1268</v>
      </c>
      <c r="C32" s="153">
        <v>203906.07</v>
      </c>
      <c r="D32" s="68">
        <f>C32/7.5345</f>
        <v>27062.98626318933</v>
      </c>
      <c r="E32" s="68">
        <f>19908+23890+3982+398</f>
        <v>48178</v>
      </c>
      <c r="F32" s="68">
        <v>25895.11</v>
      </c>
      <c r="G32" s="101">
        <f t="shared" si="0"/>
        <v>0.53748827265556898</v>
      </c>
    </row>
    <row r="33" spans="1:7" s="82" customFormat="1">
      <c r="A33" s="36">
        <v>3232</v>
      </c>
      <c r="B33" s="36" t="s">
        <v>1269</v>
      </c>
      <c r="C33" s="153">
        <v>113671.24</v>
      </c>
      <c r="D33" s="68">
        <f t="shared" ref="D33:D40" si="13">C33/7.5345</f>
        <v>15086.766208772977</v>
      </c>
      <c r="E33" s="68">
        <f>42471+1991+1991</f>
        <v>46453</v>
      </c>
      <c r="F33" s="68">
        <v>19494.36</v>
      </c>
      <c r="G33" s="101">
        <f t="shared" si="0"/>
        <v>0.41965771855423761</v>
      </c>
    </row>
    <row r="34" spans="1:7" s="82" customFormat="1">
      <c r="A34" s="36">
        <v>3233</v>
      </c>
      <c r="B34" s="36" t="s">
        <v>1270</v>
      </c>
      <c r="C34" s="153">
        <v>424882.33</v>
      </c>
      <c r="D34" s="68">
        <f t="shared" si="13"/>
        <v>56391.576083349923</v>
      </c>
      <c r="E34" s="68">
        <f>33181+1327+42471+19922+33181</f>
        <v>130082</v>
      </c>
      <c r="F34" s="68">
        <v>59210.57</v>
      </c>
      <c r="G34" s="101">
        <f t="shared" si="0"/>
        <v>0.45517881028889468</v>
      </c>
    </row>
    <row r="35" spans="1:7" s="82" customFormat="1">
      <c r="A35" s="36">
        <v>3234</v>
      </c>
      <c r="B35" s="36" t="s">
        <v>1271</v>
      </c>
      <c r="C35" s="153">
        <v>95020.6</v>
      </c>
      <c r="D35" s="68">
        <f t="shared" si="13"/>
        <v>12611.400889242817</v>
      </c>
      <c r="E35" s="68">
        <f>8627+4645+664+9954</f>
        <v>23890</v>
      </c>
      <c r="F35" s="68">
        <v>10005.92</v>
      </c>
      <c r="G35" s="101">
        <f t="shared" si="0"/>
        <v>0.41883298451234824</v>
      </c>
    </row>
    <row r="36" spans="1:7" s="82" customFormat="1">
      <c r="A36" s="36">
        <v>3235</v>
      </c>
      <c r="B36" s="36" t="s">
        <v>1272</v>
      </c>
      <c r="C36" s="153">
        <v>263973.11</v>
      </c>
      <c r="D36" s="68">
        <f t="shared" si="13"/>
        <v>35035.252505143006</v>
      </c>
      <c r="E36" s="68">
        <f>3982+10618+26545+10352</f>
        <v>51497</v>
      </c>
      <c r="F36" s="68">
        <v>27023.13</v>
      </c>
      <c r="G36" s="101">
        <f t="shared" si="0"/>
        <v>0.52475153892459758</v>
      </c>
    </row>
    <row r="37" spans="1:7" s="82" customFormat="1">
      <c r="A37" s="36">
        <v>3236</v>
      </c>
      <c r="B37" s="36" t="s">
        <v>1273</v>
      </c>
      <c r="C37" s="153">
        <v>1250</v>
      </c>
      <c r="D37" s="68">
        <f t="shared" si="13"/>
        <v>165.90351051828256</v>
      </c>
      <c r="E37" s="68">
        <v>29085</v>
      </c>
      <c r="F37" s="68">
        <v>0</v>
      </c>
      <c r="G37" s="101">
        <f t="shared" si="0"/>
        <v>0</v>
      </c>
    </row>
    <row r="38" spans="1:7" s="82" customFormat="1">
      <c r="A38" s="36">
        <v>3237</v>
      </c>
      <c r="B38" s="36" t="s">
        <v>1274</v>
      </c>
      <c r="C38" s="153">
        <v>2275491.09</v>
      </c>
      <c r="D38" s="68">
        <f t="shared" si="13"/>
        <v>302009.56798725855</v>
      </c>
      <c r="E38" s="68">
        <v>1023187</v>
      </c>
      <c r="F38" s="68">
        <v>390698.09</v>
      </c>
      <c r="G38" s="101">
        <f t="shared" si="0"/>
        <v>0.38184426698149998</v>
      </c>
    </row>
    <row r="39" spans="1:7" s="82" customFormat="1">
      <c r="A39" s="36">
        <v>3238</v>
      </c>
      <c r="B39" s="36" t="s">
        <v>1275</v>
      </c>
      <c r="C39" s="153">
        <v>47526.13</v>
      </c>
      <c r="D39" s="68">
        <f t="shared" si="13"/>
        <v>6307.8014466786108</v>
      </c>
      <c r="E39" s="68">
        <v>19908</v>
      </c>
      <c r="F39" s="68">
        <v>8688.7800000000007</v>
      </c>
      <c r="G39" s="101">
        <f t="shared" si="0"/>
        <v>0.43644665461121163</v>
      </c>
    </row>
    <row r="40" spans="1:7" s="82" customFormat="1">
      <c r="A40" s="36">
        <v>3239</v>
      </c>
      <c r="B40" s="36" t="s">
        <v>1276</v>
      </c>
      <c r="C40" s="153">
        <v>473122.48</v>
      </c>
      <c r="D40" s="68">
        <f t="shared" si="13"/>
        <v>62794.144269692741</v>
      </c>
      <c r="E40" s="68">
        <f>39817+6636+19908+2654+25483+10618</f>
        <v>105116</v>
      </c>
      <c r="F40" s="68">
        <v>58462.21</v>
      </c>
      <c r="G40" s="101">
        <f t="shared" si="0"/>
        <v>0.55616851858898742</v>
      </c>
    </row>
    <row r="41" spans="1:7">
      <c r="A41" s="66">
        <v>324</v>
      </c>
      <c r="B41" s="66" t="s">
        <v>1322</v>
      </c>
      <c r="C41" s="152">
        <f>C42</f>
        <v>922974.77</v>
      </c>
      <c r="D41" s="62">
        <f>D42</f>
        <v>122499.80357024354</v>
      </c>
      <c r="E41" s="62">
        <f t="shared" ref="E41:F41" si="14">E42</f>
        <v>273610</v>
      </c>
      <c r="F41" s="62">
        <f t="shared" si="14"/>
        <v>97847.55</v>
      </c>
      <c r="G41" s="72">
        <f t="shared" si="0"/>
        <v>0.35761686341873472</v>
      </c>
    </row>
    <row r="42" spans="1:7" s="82" customFormat="1">
      <c r="A42" s="36">
        <v>3241</v>
      </c>
      <c r="B42" s="36" t="s">
        <v>1322</v>
      </c>
      <c r="C42" s="153">
        <v>922974.77</v>
      </c>
      <c r="D42" s="68">
        <f>C42/7.5345</f>
        <v>122499.80357024354</v>
      </c>
      <c r="E42" s="68">
        <f>59725+9291+204594</f>
        <v>273610</v>
      </c>
      <c r="F42" s="68">
        <v>97847.55</v>
      </c>
      <c r="G42" s="101">
        <f t="shared" si="0"/>
        <v>0.35761686341873472</v>
      </c>
    </row>
    <row r="43" spans="1:7">
      <c r="A43" s="66">
        <v>329</v>
      </c>
      <c r="B43" s="66" t="s">
        <v>1280</v>
      </c>
      <c r="C43" s="152">
        <f>C44+C45+C46+C47+C48+C49</f>
        <v>531080.59</v>
      </c>
      <c r="D43" s="62">
        <f>D44+D45+D46+D47+D48+D49</f>
        <v>70486.507399296563</v>
      </c>
      <c r="E43" s="62">
        <f t="shared" ref="E43:F43" si="15">E44+E45+E46+E47+E48+E49</f>
        <v>172307</v>
      </c>
      <c r="F43" s="62">
        <f t="shared" si="15"/>
        <v>103104.9</v>
      </c>
      <c r="G43" s="72">
        <f t="shared" si="0"/>
        <v>0.59837905598727847</v>
      </c>
    </row>
    <row r="44" spans="1:7" s="82" customFormat="1">
      <c r="A44" s="36">
        <v>3292</v>
      </c>
      <c r="B44" s="36" t="s">
        <v>1277</v>
      </c>
      <c r="C44" s="153">
        <v>84272.68</v>
      </c>
      <c r="D44" s="68">
        <f>C44/7.5345</f>
        <v>11184.906762227087</v>
      </c>
      <c r="E44" s="68">
        <f>5309+6636+37000+6636</f>
        <v>55581</v>
      </c>
      <c r="F44" s="68">
        <v>12551.5</v>
      </c>
      <c r="G44" s="101">
        <f t="shared" si="0"/>
        <v>0.22582357280365592</v>
      </c>
    </row>
    <row r="45" spans="1:7" s="82" customFormat="1">
      <c r="A45" s="36">
        <v>3293</v>
      </c>
      <c r="B45" s="36" t="s">
        <v>1287</v>
      </c>
      <c r="C45" s="153">
        <v>318534.36</v>
      </c>
      <c r="D45" s="68">
        <f t="shared" ref="D45:D49" si="16">C45/7.5345</f>
        <v>42276.774835755517</v>
      </c>
      <c r="E45" s="68">
        <f>664+5707+71170+500</f>
        <v>78041</v>
      </c>
      <c r="F45" s="68">
        <v>61201.21</v>
      </c>
      <c r="G45" s="101">
        <f t="shared" si="0"/>
        <v>0.78421867992465499</v>
      </c>
    </row>
    <row r="46" spans="1:7" s="82" customFormat="1">
      <c r="A46" s="36">
        <v>3294</v>
      </c>
      <c r="B46" s="36" t="s">
        <v>1278</v>
      </c>
      <c r="C46" s="153">
        <v>42476.33</v>
      </c>
      <c r="D46" s="68">
        <f t="shared" si="16"/>
        <v>5637.5778087464332</v>
      </c>
      <c r="E46" s="68">
        <f>6636+6636</f>
        <v>13272</v>
      </c>
      <c r="F46" s="68">
        <v>4991.32</v>
      </c>
      <c r="G46" s="101">
        <f t="shared" si="0"/>
        <v>0.37607896323086193</v>
      </c>
    </row>
    <row r="47" spans="1:7" s="82" customFormat="1">
      <c r="A47" s="36">
        <v>3295</v>
      </c>
      <c r="B47" s="36" t="s">
        <v>1279</v>
      </c>
      <c r="C47" s="153">
        <v>37038.29</v>
      </c>
      <c r="D47" s="68">
        <f t="shared" si="16"/>
        <v>4915.8258676753594</v>
      </c>
      <c r="E47" s="68">
        <f>4973+664+664+1327+3185+3982</f>
        <v>14795</v>
      </c>
      <c r="F47" s="68">
        <v>13498.33</v>
      </c>
      <c r="G47" s="101">
        <f t="shared" si="0"/>
        <v>0.91235755322744172</v>
      </c>
    </row>
    <row r="48" spans="1:7" s="82" customFormat="1">
      <c r="A48" s="36">
        <v>3296</v>
      </c>
      <c r="B48" s="36" t="s">
        <v>1370</v>
      </c>
      <c r="C48" s="153">
        <v>3750</v>
      </c>
      <c r="D48" s="68">
        <f t="shared" si="16"/>
        <v>497.71053155484765</v>
      </c>
      <c r="E48" s="68">
        <v>5309</v>
      </c>
      <c r="F48" s="68">
        <v>1756.5</v>
      </c>
      <c r="G48" s="101">
        <f t="shared" si="0"/>
        <v>0.33085326803541154</v>
      </c>
    </row>
    <row r="49" spans="1:8" s="82" customFormat="1">
      <c r="A49" s="36">
        <v>3299</v>
      </c>
      <c r="B49" s="36" t="s">
        <v>1280</v>
      </c>
      <c r="C49" s="153">
        <v>45008.93</v>
      </c>
      <c r="D49" s="68">
        <f t="shared" si="16"/>
        <v>5973.7115933373143</v>
      </c>
      <c r="E49" s="68">
        <v>5309</v>
      </c>
      <c r="F49" s="68">
        <v>9106.0400000000009</v>
      </c>
      <c r="G49" s="101">
        <f t="shared" si="0"/>
        <v>1.7152081371256358</v>
      </c>
    </row>
    <row r="50" spans="1:8">
      <c r="A50" s="66">
        <v>34</v>
      </c>
      <c r="B50" s="66" t="s">
        <v>1316</v>
      </c>
      <c r="C50" s="152">
        <f>C51</f>
        <v>43021.58</v>
      </c>
      <c r="D50" s="62">
        <f>D51</f>
        <v>5709.944920034507</v>
      </c>
      <c r="E50" s="62">
        <f t="shared" ref="E50:F50" si="17">E51</f>
        <v>7339</v>
      </c>
      <c r="F50" s="62">
        <f t="shared" si="17"/>
        <v>6885.73</v>
      </c>
      <c r="G50" s="72">
        <f t="shared" si="0"/>
        <v>0.93823817958849975</v>
      </c>
    </row>
    <row r="51" spans="1:8">
      <c r="A51" s="66">
        <v>343</v>
      </c>
      <c r="B51" s="66" t="s">
        <v>1317</v>
      </c>
      <c r="C51" s="152">
        <f>C52+C53+C54</f>
        <v>43021.58</v>
      </c>
      <c r="D51" s="62">
        <f>D52+D53+D54</f>
        <v>5709.944920034507</v>
      </c>
      <c r="E51" s="62">
        <f t="shared" ref="E51:F51" si="18">E52+E53+E54</f>
        <v>7339</v>
      </c>
      <c r="F51" s="62">
        <f t="shared" si="18"/>
        <v>6885.73</v>
      </c>
      <c r="G51" s="72">
        <f t="shared" si="0"/>
        <v>0.93823817958849975</v>
      </c>
    </row>
    <row r="52" spans="1:8" s="82" customFormat="1">
      <c r="A52" s="36">
        <v>3431</v>
      </c>
      <c r="B52" s="36" t="s">
        <v>1281</v>
      </c>
      <c r="C52" s="153">
        <v>34274.89</v>
      </c>
      <c r="D52" s="68">
        <f>C52/7.5345</f>
        <v>4549.0596589023817</v>
      </c>
      <c r="E52" s="68">
        <v>6636</v>
      </c>
      <c r="F52" s="68">
        <v>5360.66</v>
      </c>
      <c r="G52" s="101">
        <f t="shared" si="0"/>
        <v>0.80781494876431581</v>
      </c>
    </row>
    <row r="53" spans="1:8" s="82" customFormat="1" ht="30">
      <c r="A53" s="36">
        <v>3432</v>
      </c>
      <c r="B53" s="36" t="s">
        <v>1288</v>
      </c>
      <c r="C53" s="153">
        <v>4764.79</v>
      </c>
      <c r="D53" s="68">
        <f t="shared" ref="D53:D54" si="19">C53/7.5345</f>
        <v>632.39631030592602</v>
      </c>
      <c r="E53" s="68">
        <v>663</v>
      </c>
      <c r="F53" s="68">
        <v>352.4</v>
      </c>
      <c r="G53" s="101">
        <f t="shared" si="0"/>
        <v>0.53152337858220211</v>
      </c>
    </row>
    <row r="54" spans="1:8" s="82" customFormat="1" ht="30.75" customHeight="1">
      <c r="A54" s="36">
        <v>3433</v>
      </c>
      <c r="B54" s="36" t="s">
        <v>1366</v>
      </c>
      <c r="C54" s="153">
        <v>3981.9</v>
      </c>
      <c r="D54" s="68">
        <f t="shared" si="19"/>
        <v>528.48895082619947</v>
      </c>
      <c r="E54" s="68">
        <v>40</v>
      </c>
      <c r="F54" s="68">
        <v>1172.67</v>
      </c>
      <c r="G54" s="101">
        <f t="shared" si="0"/>
        <v>29.316750000000003</v>
      </c>
      <c r="H54" s="194"/>
    </row>
    <row r="55" spans="1:8" hidden="1">
      <c r="A55" s="66">
        <v>36</v>
      </c>
      <c r="B55" s="66" t="s">
        <v>1355</v>
      </c>
      <c r="C55" s="152">
        <f>C56</f>
        <v>0</v>
      </c>
      <c r="D55" s="62">
        <f>D56</f>
        <v>0</v>
      </c>
      <c r="E55" s="62">
        <f t="shared" ref="E55:F55" si="20">E56</f>
        <v>0</v>
      </c>
      <c r="F55" s="62">
        <f t="shared" si="20"/>
        <v>0</v>
      </c>
      <c r="G55" s="72" t="str">
        <f t="shared" si="0"/>
        <v>***</v>
      </c>
    </row>
    <row r="56" spans="1:8" ht="30" hidden="1">
      <c r="A56" s="66">
        <v>369</v>
      </c>
      <c r="B56" s="66" t="s">
        <v>1340</v>
      </c>
      <c r="C56" s="152">
        <f>C57</f>
        <v>0</v>
      </c>
      <c r="D56" s="62">
        <f>D57</f>
        <v>0</v>
      </c>
      <c r="E56" s="62">
        <f t="shared" ref="E56:F56" si="21">E57</f>
        <v>0</v>
      </c>
      <c r="F56" s="62">
        <f t="shared" si="21"/>
        <v>0</v>
      </c>
      <c r="G56" s="72" t="str">
        <f t="shared" ref="G56:G57" si="22">IF(E56&lt;&gt;0,F56/E56,"***")</f>
        <v>***</v>
      </c>
    </row>
    <row r="57" spans="1:8" s="82" customFormat="1" ht="30" hidden="1">
      <c r="A57" s="36">
        <v>3691</v>
      </c>
      <c r="B57" s="36" t="s">
        <v>1306</v>
      </c>
      <c r="C57" s="153">
        <v>0</v>
      </c>
      <c r="D57" s="68">
        <f>C57/7.5345</f>
        <v>0</v>
      </c>
      <c r="E57" s="68">
        <v>0</v>
      </c>
      <c r="F57" s="68">
        <v>0</v>
      </c>
      <c r="G57" s="101" t="str">
        <f t="shared" si="22"/>
        <v>***</v>
      </c>
    </row>
    <row r="58" spans="1:8" ht="30">
      <c r="A58" s="66">
        <v>37</v>
      </c>
      <c r="B58" s="66" t="s">
        <v>1324</v>
      </c>
      <c r="C58" s="152">
        <f>C59</f>
        <v>186329.13</v>
      </c>
      <c r="D58" s="62">
        <f>D59</f>
        <v>24730.125423053953</v>
      </c>
      <c r="E58" s="62">
        <f t="shared" ref="E58:F59" si="23">E59</f>
        <v>77851</v>
      </c>
      <c r="F58" s="62">
        <f t="shared" si="23"/>
        <v>29710.66</v>
      </c>
      <c r="G58" s="72">
        <f t="shared" si="0"/>
        <v>0.38163491798435473</v>
      </c>
    </row>
    <row r="59" spans="1:8" ht="30">
      <c r="A59" s="66">
        <v>372</v>
      </c>
      <c r="B59" s="66" t="s">
        <v>1324</v>
      </c>
      <c r="C59" s="152">
        <f>C60</f>
        <v>186329.13</v>
      </c>
      <c r="D59" s="62">
        <f>D60</f>
        <v>24730.125423053953</v>
      </c>
      <c r="E59" s="62">
        <f t="shared" si="23"/>
        <v>77851</v>
      </c>
      <c r="F59" s="62">
        <f t="shared" si="23"/>
        <v>29710.66</v>
      </c>
      <c r="G59" s="72">
        <f t="shared" si="0"/>
        <v>0.38163491798435473</v>
      </c>
    </row>
    <row r="60" spans="1:8" s="82" customFormat="1">
      <c r="A60" s="36">
        <v>3721</v>
      </c>
      <c r="B60" s="36" t="s">
        <v>1353</v>
      </c>
      <c r="C60" s="153">
        <v>186329.13</v>
      </c>
      <c r="D60" s="68">
        <f>C60/7.5345</f>
        <v>24730.125423053953</v>
      </c>
      <c r="E60" s="68">
        <f>36707+33181+6636+1327</f>
        <v>77851</v>
      </c>
      <c r="F60" s="68">
        <v>29710.66</v>
      </c>
      <c r="G60" s="101">
        <f t="shared" si="0"/>
        <v>0.38163491798435473</v>
      </c>
    </row>
    <row r="61" spans="1:8">
      <c r="A61" s="66">
        <v>38</v>
      </c>
      <c r="B61" s="66" t="s">
        <v>1323</v>
      </c>
      <c r="C61" s="152">
        <f>C62+C64</f>
        <v>2850</v>
      </c>
      <c r="D61" s="62">
        <f>D62+D64</f>
        <v>378.26000398168424</v>
      </c>
      <c r="E61" s="62">
        <f t="shared" ref="E61:F61" si="24">E62+E64</f>
        <v>42127</v>
      </c>
      <c r="F61" s="62">
        <f t="shared" si="24"/>
        <v>450</v>
      </c>
      <c r="G61" s="72">
        <f t="shared" si="0"/>
        <v>1.0681985425024331E-2</v>
      </c>
    </row>
    <row r="62" spans="1:8">
      <c r="A62" s="66">
        <v>381</v>
      </c>
      <c r="B62" s="66" t="s">
        <v>1311</v>
      </c>
      <c r="C62" s="152">
        <f>C63</f>
        <v>2850</v>
      </c>
      <c r="D62" s="62">
        <f>D63</f>
        <v>378.26000398168424</v>
      </c>
      <c r="E62" s="62">
        <f t="shared" ref="E62:F62" si="25">E63</f>
        <v>42127</v>
      </c>
      <c r="F62" s="62">
        <f t="shared" si="25"/>
        <v>450</v>
      </c>
      <c r="G62" s="72">
        <f t="shared" si="0"/>
        <v>1.0681985425024331E-2</v>
      </c>
    </row>
    <row r="63" spans="1:8" s="82" customFormat="1">
      <c r="A63" s="36">
        <v>3811</v>
      </c>
      <c r="B63" s="36" t="s">
        <v>1293</v>
      </c>
      <c r="C63" s="153">
        <v>2850</v>
      </c>
      <c r="D63" s="68">
        <f>C63/7.5345</f>
        <v>378.26000398168424</v>
      </c>
      <c r="E63" s="68">
        <v>42127</v>
      </c>
      <c r="F63" s="68">
        <v>450</v>
      </c>
      <c r="G63" s="101">
        <f t="shared" si="0"/>
        <v>1.0681985425024331E-2</v>
      </c>
    </row>
    <row r="64" spans="1:8" hidden="1">
      <c r="A64" s="66">
        <v>386</v>
      </c>
      <c r="B64" s="66" t="s">
        <v>1434</v>
      </c>
      <c r="C64" s="152">
        <f>C65</f>
        <v>0</v>
      </c>
      <c r="D64" s="62">
        <f>D65</f>
        <v>0</v>
      </c>
      <c r="E64" s="62">
        <f t="shared" ref="E64:F64" si="26">E65</f>
        <v>0</v>
      </c>
      <c r="F64" s="62">
        <f t="shared" si="26"/>
        <v>0</v>
      </c>
      <c r="G64" s="72" t="str">
        <f t="shared" ref="G64:G65" si="27">IF(E64&lt;&gt;0,F64/E64,"***")</f>
        <v>***</v>
      </c>
    </row>
    <row r="65" spans="1:7" s="82" customFormat="1" ht="45" hidden="1">
      <c r="A65" s="36">
        <v>3862</v>
      </c>
      <c r="B65" s="36" t="s">
        <v>1435</v>
      </c>
      <c r="C65" s="153">
        <v>0</v>
      </c>
      <c r="D65" s="68">
        <f>C65/7.5345</f>
        <v>0</v>
      </c>
      <c r="E65" s="68">
        <v>0</v>
      </c>
      <c r="F65" s="68">
        <v>0</v>
      </c>
      <c r="G65" s="101" t="str">
        <f t="shared" si="27"/>
        <v>***</v>
      </c>
    </row>
    <row r="66" spans="1:7" hidden="1">
      <c r="A66" s="66">
        <v>39</v>
      </c>
      <c r="B66" s="66" t="s">
        <v>1408</v>
      </c>
      <c r="C66" s="176">
        <f>C67</f>
        <v>-40993.910000000003</v>
      </c>
      <c r="D66" s="127">
        <f>D67</f>
        <v>-5440.826863096423</v>
      </c>
      <c r="E66" s="62">
        <f t="shared" ref="E66:F66" si="28">E67</f>
        <v>0</v>
      </c>
      <c r="F66" s="127">
        <f t="shared" si="28"/>
        <v>0</v>
      </c>
      <c r="G66" s="72" t="str">
        <f t="shared" si="0"/>
        <v>***</v>
      </c>
    </row>
    <row r="67" spans="1:7" s="82" customFormat="1" hidden="1">
      <c r="A67" s="36">
        <v>3911</v>
      </c>
      <c r="B67" s="36" t="s">
        <v>1409</v>
      </c>
      <c r="C67" s="177">
        <v>-40993.910000000003</v>
      </c>
      <c r="D67" s="126">
        <f>C67/7.5345</f>
        <v>-5440.826863096423</v>
      </c>
      <c r="E67" s="68">
        <v>0</v>
      </c>
      <c r="F67" s="126">
        <v>0</v>
      </c>
      <c r="G67" s="101" t="str">
        <f t="shared" si="0"/>
        <v>***</v>
      </c>
    </row>
    <row r="68" spans="1:7">
      <c r="A68" s="66">
        <v>4</v>
      </c>
      <c r="B68" s="66" t="s">
        <v>1318</v>
      </c>
      <c r="C68" s="152">
        <f>C69+C73</f>
        <v>2372240.3499999996</v>
      </c>
      <c r="D68" s="62">
        <f>D69+D73</f>
        <v>314850.40148649545</v>
      </c>
      <c r="E68" s="62">
        <f t="shared" ref="E68:F68" si="29">E69+E73</f>
        <v>4582133</v>
      </c>
      <c r="F68" s="62">
        <f t="shared" si="29"/>
        <v>565388.08000000007</v>
      </c>
      <c r="G68" s="72">
        <f t="shared" si="0"/>
        <v>0.1233897139170775</v>
      </c>
    </row>
    <row r="69" spans="1:7" ht="30">
      <c r="A69" s="66">
        <v>41</v>
      </c>
      <c r="B69" s="66" t="s">
        <v>1356</v>
      </c>
      <c r="C69" s="152">
        <f>C70</f>
        <v>192628.59</v>
      </c>
      <c r="D69" s="62">
        <f>D70</f>
        <v>25566.207445749551</v>
      </c>
      <c r="E69" s="62">
        <f t="shared" ref="E69:F69" si="30">E70</f>
        <v>570152</v>
      </c>
      <c r="F69" s="62">
        <f t="shared" si="30"/>
        <v>276020.73000000004</v>
      </c>
      <c r="G69" s="72">
        <f t="shared" si="0"/>
        <v>0.48411779665773347</v>
      </c>
    </row>
    <row r="70" spans="1:7">
      <c r="A70" s="66">
        <v>412</v>
      </c>
      <c r="B70" s="66" t="s">
        <v>1357</v>
      </c>
      <c r="C70" s="152">
        <f>C71+C72</f>
        <v>192628.59</v>
      </c>
      <c r="D70" s="62">
        <f>D71+D72</f>
        <v>25566.207445749551</v>
      </c>
      <c r="E70" s="62">
        <f t="shared" ref="E70:F70" si="31">E71+E72</f>
        <v>570152</v>
      </c>
      <c r="F70" s="62">
        <f t="shared" si="31"/>
        <v>276020.73000000004</v>
      </c>
      <c r="G70" s="72">
        <f t="shared" si="0"/>
        <v>0.48411779665773347</v>
      </c>
    </row>
    <row r="71" spans="1:7" s="82" customFormat="1">
      <c r="A71" s="36">
        <v>4123</v>
      </c>
      <c r="B71" s="36" t="s">
        <v>1294</v>
      </c>
      <c r="C71" s="153">
        <v>162713.5</v>
      </c>
      <c r="D71" s="68">
        <f>C71/7.5345</f>
        <v>21595.792686973255</v>
      </c>
      <c r="E71" s="68">
        <f>33566+19523</f>
        <v>53089</v>
      </c>
      <c r="F71" s="68">
        <v>8224.9599999999991</v>
      </c>
      <c r="G71" s="101">
        <f t="shared" si="0"/>
        <v>0.15492776281338883</v>
      </c>
    </row>
    <row r="72" spans="1:7" s="82" customFormat="1">
      <c r="A72" s="36">
        <v>4124</v>
      </c>
      <c r="B72" s="36" t="s">
        <v>1375</v>
      </c>
      <c r="C72" s="153">
        <v>29915.09</v>
      </c>
      <c r="D72" s="68">
        <f>C72/7.5345</f>
        <v>3970.4147587762955</v>
      </c>
      <c r="E72" s="68">
        <f>25603+491460</f>
        <v>517063</v>
      </c>
      <c r="F72" s="68">
        <v>267795.77</v>
      </c>
      <c r="G72" s="101">
        <f t="shared" si="0"/>
        <v>0.51791710101090205</v>
      </c>
    </row>
    <row r="73" spans="1:7">
      <c r="A73" s="66">
        <v>42</v>
      </c>
      <c r="B73" s="66" t="s">
        <v>1319</v>
      </c>
      <c r="C73" s="152">
        <f>C74+C76+C81+C83</f>
        <v>2179611.7599999998</v>
      </c>
      <c r="D73" s="62">
        <f>D74+D76+D81+D83</f>
        <v>289284.1940407459</v>
      </c>
      <c r="E73" s="62">
        <f>E74+E76+E81+E83</f>
        <v>4011981</v>
      </c>
      <c r="F73" s="62">
        <f>F74+F76+F81+F83</f>
        <v>289367.34999999998</v>
      </c>
      <c r="G73" s="72">
        <f t="shared" si="0"/>
        <v>7.2125802689494284E-2</v>
      </c>
    </row>
    <row r="74" spans="1:7">
      <c r="A74" s="66">
        <v>421</v>
      </c>
      <c r="B74" s="66" t="s">
        <v>1410</v>
      </c>
      <c r="C74" s="152">
        <f>C75</f>
        <v>0</v>
      </c>
      <c r="D74" s="62">
        <f>D75</f>
        <v>0</v>
      </c>
      <c r="E74" s="62">
        <f t="shared" ref="E74:F74" si="32">E75</f>
        <v>2961379</v>
      </c>
      <c r="F74" s="62">
        <f t="shared" si="32"/>
        <v>33916.82</v>
      </c>
      <c r="G74" s="72">
        <f t="shared" ref="G74:G75" si="33">IF(E74&lt;&gt;0,F74/E74,"***")</f>
        <v>1.1453049407049892E-2</v>
      </c>
    </row>
    <row r="75" spans="1:7" s="82" customFormat="1">
      <c r="A75" s="36">
        <v>4212</v>
      </c>
      <c r="B75" s="36" t="s">
        <v>1411</v>
      </c>
      <c r="C75" s="153">
        <v>0</v>
      </c>
      <c r="D75" s="68">
        <f>C75/7.5345</f>
        <v>0</v>
      </c>
      <c r="E75" s="68">
        <v>2961379</v>
      </c>
      <c r="F75" s="68">
        <v>33916.82</v>
      </c>
      <c r="G75" s="101">
        <f t="shared" si="33"/>
        <v>1.1453049407049892E-2</v>
      </c>
    </row>
    <row r="76" spans="1:7">
      <c r="A76" s="66">
        <v>422</v>
      </c>
      <c r="B76" s="66" t="s">
        <v>1320</v>
      </c>
      <c r="C76" s="152">
        <f>C77+C78+C79+C80</f>
        <v>2117599.34</v>
      </c>
      <c r="D76" s="62">
        <f>D77+D78+D79+D80</f>
        <v>281053.73150175856</v>
      </c>
      <c r="E76" s="62">
        <f t="shared" ref="E76:F76" si="34">E77+E78+E79+E80</f>
        <v>1021188</v>
      </c>
      <c r="F76" s="62">
        <f t="shared" si="34"/>
        <v>248844.42</v>
      </c>
      <c r="G76" s="72">
        <f t="shared" ref="G76:G89" si="35">IF(E76&lt;&gt;0,F76/E76,"***")</f>
        <v>0.24368130060282731</v>
      </c>
    </row>
    <row r="77" spans="1:7" s="82" customFormat="1">
      <c r="A77" s="36">
        <v>4221</v>
      </c>
      <c r="B77" s="36" t="s">
        <v>1282</v>
      </c>
      <c r="C77" s="153">
        <v>14807.98</v>
      </c>
      <c r="D77" s="68">
        <f>C77/7.5345</f>
        <v>1965.3566925476141</v>
      </c>
      <c r="E77" s="68">
        <f>238901+49771</f>
        <v>288672</v>
      </c>
      <c r="F77" s="68">
        <v>124456.61</v>
      </c>
      <c r="G77" s="101">
        <f t="shared" si="35"/>
        <v>0.4311350252189336</v>
      </c>
    </row>
    <row r="78" spans="1:7" s="82" customFormat="1">
      <c r="A78" s="36">
        <v>4222</v>
      </c>
      <c r="B78" s="36" t="s">
        <v>1289</v>
      </c>
      <c r="C78" s="153">
        <v>0</v>
      </c>
      <c r="D78" s="68">
        <f t="shared" ref="D78:D80" si="36">C78/7.5345</f>
        <v>0</v>
      </c>
      <c r="E78" s="68">
        <v>664</v>
      </c>
      <c r="F78" s="68">
        <v>444.99</v>
      </c>
      <c r="G78" s="101">
        <f t="shared" si="35"/>
        <v>0.6701656626506024</v>
      </c>
    </row>
    <row r="79" spans="1:7" s="82" customFormat="1" hidden="1">
      <c r="A79" s="36">
        <v>4223</v>
      </c>
      <c r="B79" s="36" t="s">
        <v>1295</v>
      </c>
      <c r="C79" s="153"/>
      <c r="D79" s="68">
        <f t="shared" si="36"/>
        <v>0</v>
      </c>
      <c r="E79" s="68"/>
      <c r="F79" s="68"/>
      <c r="G79" s="101" t="str">
        <f t="shared" si="35"/>
        <v>***</v>
      </c>
    </row>
    <row r="80" spans="1:7" s="82" customFormat="1">
      <c r="A80" s="36">
        <v>4227</v>
      </c>
      <c r="B80" s="36" t="s">
        <v>1283</v>
      </c>
      <c r="C80" s="153">
        <v>2102791.36</v>
      </c>
      <c r="D80" s="68">
        <f t="shared" si="36"/>
        <v>279088.37480921095</v>
      </c>
      <c r="E80" s="68">
        <f>21453+688500+20572+1327</f>
        <v>731852</v>
      </c>
      <c r="F80" s="68">
        <v>123942.82</v>
      </c>
      <c r="G80" s="101">
        <f t="shared" si="35"/>
        <v>0.16935503353136974</v>
      </c>
    </row>
    <row r="81" spans="1:7" hidden="1">
      <c r="A81" s="66">
        <v>423</v>
      </c>
      <c r="B81" s="66" t="s">
        <v>1358</v>
      </c>
      <c r="C81" s="152">
        <f>C82</f>
        <v>0</v>
      </c>
      <c r="D81" s="62"/>
      <c r="E81" s="62">
        <f t="shared" ref="E81:F81" si="37">E82</f>
        <v>0</v>
      </c>
      <c r="F81" s="62">
        <f t="shared" si="37"/>
        <v>0</v>
      </c>
      <c r="G81" s="72" t="str">
        <f t="shared" si="35"/>
        <v>***</v>
      </c>
    </row>
    <row r="82" spans="1:7" s="82" customFormat="1" hidden="1">
      <c r="A82" s="36">
        <v>4231</v>
      </c>
      <c r="B82" s="36" t="s">
        <v>1412</v>
      </c>
      <c r="C82" s="153">
        <v>0</v>
      </c>
      <c r="D82" s="68"/>
      <c r="E82" s="68">
        <v>0</v>
      </c>
      <c r="F82" s="68">
        <v>0</v>
      </c>
      <c r="G82" s="101" t="str">
        <f t="shared" si="35"/>
        <v>***</v>
      </c>
    </row>
    <row r="83" spans="1:7">
      <c r="A83" s="66">
        <v>424</v>
      </c>
      <c r="B83" s="66" t="s">
        <v>1321</v>
      </c>
      <c r="C83" s="152">
        <f>C84</f>
        <v>62012.42</v>
      </c>
      <c r="D83" s="62">
        <f>D84</f>
        <v>8230.4625389873236</v>
      </c>
      <c r="E83" s="62">
        <f>E84</f>
        <v>29414</v>
      </c>
      <c r="F83" s="62">
        <f>F84</f>
        <v>6606.11</v>
      </c>
      <c r="G83" s="72">
        <f t="shared" si="35"/>
        <v>0.22459067110899569</v>
      </c>
    </row>
    <row r="84" spans="1:7" s="82" customFormat="1">
      <c r="A84" s="36">
        <v>4241</v>
      </c>
      <c r="B84" s="36" t="s">
        <v>1290</v>
      </c>
      <c r="C84" s="153">
        <v>62012.42</v>
      </c>
      <c r="D84" s="68">
        <f>C84/7.5345</f>
        <v>8230.4625389873236</v>
      </c>
      <c r="E84" s="68">
        <f>26760+1327+1327</f>
        <v>29414</v>
      </c>
      <c r="F84" s="68">
        <v>6606.11</v>
      </c>
      <c r="G84" s="101">
        <f t="shared" si="35"/>
        <v>0.22459067110899569</v>
      </c>
    </row>
    <row r="85" spans="1:7" hidden="1">
      <c r="A85" s="66">
        <v>5</v>
      </c>
      <c r="B85" s="66" t="s">
        <v>1419</v>
      </c>
      <c r="C85" s="152">
        <f>C86</f>
        <v>0</v>
      </c>
      <c r="D85" s="62"/>
      <c r="E85" s="62">
        <f t="shared" ref="E85:F85" si="38">E86</f>
        <v>0</v>
      </c>
      <c r="F85" s="62">
        <f t="shared" si="38"/>
        <v>0</v>
      </c>
      <c r="G85" s="72" t="str">
        <f t="shared" si="35"/>
        <v>***</v>
      </c>
    </row>
    <row r="86" spans="1:7" hidden="1">
      <c r="A86" s="66">
        <v>51</v>
      </c>
      <c r="B86" s="66" t="s">
        <v>1418</v>
      </c>
      <c r="C86" s="152">
        <f>C87</f>
        <v>0</v>
      </c>
      <c r="D86" s="62"/>
      <c r="E86" s="62">
        <f>E87</f>
        <v>0</v>
      </c>
      <c r="F86" s="62">
        <f t="shared" ref="E86:F87" si="39">F87</f>
        <v>0</v>
      </c>
      <c r="G86" s="72" t="str">
        <f t="shared" si="35"/>
        <v>***</v>
      </c>
    </row>
    <row r="87" spans="1:7" hidden="1">
      <c r="A87" s="66">
        <v>518</v>
      </c>
      <c r="B87" s="66" t="s">
        <v>1417</v>
      </c>
      <c r="C87" s="152">
        <f>C88</f>
        <v>0</v>
      </c>
      <c r="D87" s="62"/>
      <c r="E87" s="62">
        <f t="shared" si="39"/>
        <v>0</v>
      </c>
      <c r="F87" s="62">
        <f t="shared" si="39"/>
        <v>0</v>
      </c>
      <c r="G87" s="72" t="str">
        <f t="shared" si="35"/>
        <v>***</v>
      </c>
    </row>
    <row r="88" spans="1:7" s="82" customFormat="1" ht="30" hidden="1">
      <c r="A88" s="36">
        <v>5181</v>
      </c>
      <c r="B88" s="36" t="s">
        <v>1416</v>
      </c>
      <c r="C88" s="153">
        <v>0</v>
      </c>
      <c r="D88" s="68"/>
      <c r="E88" s="68">
        <v>0</v>
      </c>
      <c r="F88" s="68">
        <v>0</v>
      </c>
      <c r="G88" s="101" t="str">
        <f t="shared" si="35"/>
        <v>***</v>
      </c>
    </row>
    <row r="89" spans="1:7">
      <c r="A89" s="210" t="s">
        <v>1313</v>
      </c>
      <c r="B89" s="211"/>
      <c r="C89" s="155">
        <f>C8+C68+C85</f>
        <v>34075580.839999996</v>
      </c>
      <c r="D89" s="61">
        <f>D8+D68+D85</f>
        <v>4522606.787444423</v>
      </c>
      <c r="E89" s="61">
        <f>E8+E68+E85</f>
        <v>16224542</v>
      </c>
      <c r="F89" s="61">
        <f>F8+F68+F85</f>
        <v>5405805.5500000007</v>
      </c>
      <c r="G89" s="74">
        <f t="shared" si="35"/>
        <v>0.33318694296578605</v>
      </c>
    </row>
    <row r="90" spans="1:7">
      <c r="E90" s="11"/>
      <c r="F90" s="11"/>
    </row>
    <row r="92" spans="1:7">
      <c r="B92" s="149"/>
      <c r="C92" s="156"/>
      <c r="D92" s="150"/>
      <c r="E92" s="150"/>
      <c r="F92" s="150"/>
    </row>
    <row r="94" spans="1:7">
      <c r="C94" s="196"/>
      <c r="D94" s="196"/>
      <c r="E94" s="196"/>
      <c r="F94" s="196"/>
    </row>
  </sheetData>
  <mergeCells count="3">
    <mergeCell ref="A4:F4"/>
    <mergeCell ref="A2:G2"/>
    <mergeCell ref="A89:B89"/>
  </mergeCells>
  <pageMargins left="0.70866141732283472" right="0.70866141732283472" top="0.74803149606299213" bottom="0.74803149606299213" header="0.31496062992125984" footer="0.31496062992125984"/>
  <pageSetup paperSize="8"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2:M51"/>
  <sheetViews>
    <sheetView topLeftCell="A35" zoomScale="150" zoomScaleNormal="150" workbookViewId="0">
      <selection activeCell="F12" activeCellId="1" sqref="F10 F12"/>
    </sheetView>
  </sheetViews>
  <sheetFormatPr defaultRowHeight="15"/>
  <cols>
    <col min="1" max="1" width="7.7109375" customWidth="1"/>
    <col min="2" max="2" width="48" customWidth="1"/>
    <col min="3" max="3" width="18.5703125" style="157" customWidth="1"/>
    <col min="4" max="4" width="18.5703125" style="46" customWidth="1"/>
    <col min="5" max="5" width="19.85546875" customWidth="1"/>
    <col min="6" max="6" width="16.85546875" customWidth="1"/>
    <col min="7" max="7" width="12.140625" style="51" customWidth="1"/>
  </cols>
  <sheetData>
    <row r="2" spans="1:8">
      <c r="A2" s="212" t="s">
        <v>1391</v>
      </c>
      <c r="B2" s="212"/>
      <c r="C2" s="212"/>
      <c r="D2" s="212"/>
      <c r="E2" s="212"/>
      <c r="F2" s="212"/>
      <c r="G2" s="212"/>
    </row>
    <row r="4" spans="1:8">
      <c r="A4" s="208" t="s">
        <v>1362</v>
      </c>
      <c r="B4" s="208"/>
      <c r="C4" s="208"/>
      <c r="D4" s="208"/>
      <c r="E4" s="208"/>
      <c r="F4" s="208"/>
      <c r="G4" s="208"/>
    </row>
    <row r="5" spans="1:8">
      <c r="A5" s="75"/>
      <c r="B5" s="75"/>
      <c r="C5" s="172"/>
      <c r="D5" s="174"/>
      <c r="E5" s="75"/>
      <c r="F5" s="75"/>
      <c r="G5" s="122"/>
    </row>
    <row r="6" spans="1:8" ht="51.75" customHeight="1">
      <c r="A6" s="65" t="s">
        <v>1302</v>
      </c>
      <c r="B6" s="65" t="s">
        <v>1335</v>
      </c>
      <c r="C6" s="148" t="s">
        <v>1498</v>
      </c>
      <c r="D6" s="59" t="s">
        <v>1502</v>
      </c>
      <c r="E6" s="59" t="s">
        <v>1499</v>
      </c>
      <c r="F6" s="59" t="s">
        <v>1500</v>
      </c>
      <c r="G6" s="59" t="s">
        <v>1501</v>
      </c>
    </row>
    <row r="7" spans="1:8">
      <c r="A7" s="65">
        <v>1</v>
      </c>
      <c r="B7" s="65">
        <v>2</v>
      </c>
      <c r="C7" s="148">
        <v>3</v>
      </c>
      <c r="D7" s="59">
        <v>4</v>
      </c>
      <c r="E7" s="59">
        <v>5</v>
      </c>
      <c r="F7" s="59">
        <v>6</v>
      </c>
      <c r="G7" s="58">
        <v>7</v>
      </c>
    </row>
    <row r="8" spans="1:8" s="76" customFormat="1">
      <c r="A8" s="80">
        <v>6</v>
      </c>
      <c r="B8" s="67" t="s">
        <v>1328</v>
      </c>
      <c r="C8" s="155">
        <f>C10+C12+C13+C15+C17+C18+C19+C20+C21+C22+C24+C25+C27+C29+C30+C31+C32+C33+C34+C35+C37+C39+C40</f>
        <v>30673860.679999992</v>
      </c>
      <c r="D8" s="61">
        <f>D10+D12+D13+D15+D17+D18+D19+D20+D21+D22+D24+D25+D27+D29+D30+D31+D32+D33+D34+D35+D37+D39+D40</f>
        <v>4071120.9343685703</v>
      </c>
      <c r="E8" s="61">
        <f t="shared" ref="E8:F8" si="0">E10+E12+E13+E15+E17+E18+E19+E20+E21+E22+E24+E25+E27+E29+E30+E31+E32+E33+E34+E35+E37+E39+E40</f>
        <v>11624439</v>
      </c>
      <c r="F8" s="61">
        <f t="shared" si="0"/>
        <v>4774036.9399999995</v>
      </c>
      <c r="G8" s="123">
        <f>IF(E8&lt;&gt;0,F8/E8,"***")</f>
        <v>0.41068966338934715</v>
      </c>
    </row>
    <row r="9" spans="1:8">
      <c r="A9" s="213" t="s">
        <v>1422</v>
      </c>
      <c r="B9" s="214"/>
      <c r="C9" s="152">
        <f>C10</f>
        <v>18424856.469999999</v>
      </c>
      <c r="D9" s="62">
        <f>D10</f>
        <v>2445398.6953347931</v>
      </c>
      <c r="E9" s="62">
        <f t="shared" ref="E9:F9" si="1">E10</f>
        <v>6704972</v>
      </c>
      <c r="F9" s="62">
        <f t="shared" si="1"/>
        <v>2885737.59</v>
      </c>
      <c r="G9" s="124">
        <f t="shared" ref="G9:G45" si="2">IF(E9&lt;&gt;0,F9/E9,"***")</f>
        <v>0.43038771675705728</v>
      </c>
      <c r="H9" s="45"/>
    </row>
    <row r="10" spans="1:8" s="82" customFormat="1" ht="30">
      <c r="A10" s="118">
        <v>6711</v>
      </c>
      <c r="B10" s="119" t="s">
        <v>1393</v>
      </c>
      <c r="C10" s="154">
        <v>18424856.469999999</v>
      </c>
      <c r="D10" s="81">
        <f>C10/7.5345</f>
        <v>2445398.6953347931</v>
      </c>
      <c r="E10" s="81">
        <v>6704972</v>
      </c>
      <c r="F10" s="81">
        <v>2885737.59</v>
      </c>
      <c r="G10" s="125">
        <f t="shared" si="2"/>
        <v>0.43038771675705728</v>
      </c>
    </row>
    <row r="11" spans="1:8" ht="48.75" customHeight="1">
      <c r="A11" s="213" t="s">
        <v>1505</v>
      </c>
      <c r="B11" s="214"/>
      <c r="C11" s="152">
        <f>C12+C13</f>
        <v>6313092.1899999995</v>
      </c>
      <c r="D11" s="62">
        <f>D12+D13</f>
        <v>837891.32523724192</v>
      </c>
      <c r="E11" s="62">
        <f t="shared" ref="E11:F11" si="3">E12+E13</f>
        <v>1273427</v>
      </c>
      <c r="F11" s="62">
        <f t="shared" si="3"/>
        <v>921257.76</v>
      </c>
      <c r="G11" s="124">
        <f t="shared" si="2"/>
        <v>0.72344764167871423</v>
      </c>
      <c r="H11" s="45"/>
    </row>
    <row r="12" spans="1:8" s="82" customFormat="1" ht="30">
      <c r="A12" s="118">
        <v>6711</v>
      </c>
      <c r="B12" s="119" t="s">
        <v>1393</v>
      </c>
      <c r="C12" s="154">
        <f>2553000+3760092.19</f>
        <v>6313092.1899999995</v>
      </c>
      <c r="D12" s="81">
        <f>C12/7.5345</f>
        <v>837891.32523724192</v>
      </c>
      <c r="E12" s="81">
        <f>299950+948339+25138</f>
        <v>1273427</v>
      </c>
      <c r="F12" s="81">
        <v>921257.76</v>
      </c>
      <c r="G12" s="125">
        <f t="shared" si="2"/>
        <v>0.72344764167871423</v>
      </c>
    </row>
    <row r="13" spans="1:8" s="82" customFormat="1" ht="30" hidden="1">
      <c r="A13" s="120">
        <v>6712</v>
      </c>
      <c r="B13" s="119" t="s">
        <v>1402</v>
      </c>
      <c r="C13" s="154">
        <v>0</v>
      </c>
      <c r="D13" s="81"/>
      <c r="E13" s="81">
        <v>0</v>
      </c>
      <c r="F13" s="81">
        <v>0</v>
      </c>
      <c r="G13" s="125" t="str">
        <f t="shared" ref="G13" si="4">IF(E13&lt;&gt;0,F13/E13,"***")</f>
        <v>***</v>
      </c>
    </row>
    <row r="14" spans="1:8" hidden="1">
      <c r="A14" s="213" t="s">
        <v>1423</v>
      </c>
      <c r="B14" s="214"/>
      <c r="C14" s="152">
        <f>C15</f>
        <v>0</v>
      </c>
      <c r="D14" s="62"/>
      <c r="E14" s="62">
        <f t="shared" ref="E14:F14" si="5">E15</f>
        <v>0</v>
      </c>
      <c r="F14" s="62">
        <f t="shared" si="5"/>
        <v>0</v>
      </c>
      <c r="G14" s="124" t="str">
        <f t="shared" ref="G14:G15" si="6">IF(E14&lt;&gt;0,F14/E14,"***")</f>
        <v>***</v>
      </c>
      <c r="H14" s="45"/>
    </row>
    <row r="15" spans="1:8" s="82" customFormat="1" ht="30" hidden="1">
      <c r="A15" s="118">
        <v>6711</v>
      </c>
      <c r="B15" s="119" t="s">
        <v>1393</v>
      </c>
      <c r="C15" s="154">
        <v>0</v>
      </c>
      <c r="D15" s="81"/>
      <c r="E15" s="81">
        <v>0</v>
      </c>
      <c r="F15" s="81">
        <v>0</v>
      </c>
      <c r="G15" s="125" t="str">
        <f t="shared" si="6"/>
        <v>***</v>
      </c>
    </row>
    <row r="16" spans="1:8">
      <c r="A16" s="213" t="s">
        <v>1394</v>
      </c>
      <c r="B16" s="214"/>
      <c r="C16" s="152">
        <f>C17+C18+C19+C20+C21+C22</f>
        <v>772817.84</v>
      </c>
      <c r="D16" s="62">
        <f>D17+D18+D19+D20+D21+D22</f>
        <v>102570.55411772513</v>
      </c>
      <c r="E16" s="62">
        <f t="shared" ref="E16:F16" si="7">E17+E18+E19+E20+E21+E22</f>
        <v>273078</v>
      </c>
      <c r="F16" s="62">
        <f t="shared" si="7"/>
        <v>267171.77</v>
      </c>
      <c r="G16" s="124">
        <f t="shared" si="2"/>
        <v>0.97837163740762723</v>
      </c>
    </row>
    <row r="17" spans="1:7" s="82" customFormat="1">
      <c r="A17" s="118">
        <v>6413</v>
      </c>
      <c r="B17" s="118" t="s">
        <v>1307</v>
      </c>
      <c r="C17" s="154">
        <v>340.55</v>
      </c>
      <c r="D17" s="81">
        <f>C17/7.5345</f>
        <v>45.198752405600899</v>
      </c>
      <c r="E17" s="81">
        <v>332</v>
      </c>
      <c r="F17" s="81">
        <v>0</v>
      </c>
      <c r="G17" s="125">
        <f t="shared" si="2"/>
        <v>0</v>
      </c>
    </row>
    <row r="18" spans="1:7" s="82" customFormat="1">
      <c r="A18" s="118">
        <v>6414</v>
      </c>
      <c r="B18" s="118" t="s">
        <v>1308</v>
      </c>
      <c r="C18" s="154">
        <v>2540.58</v>
      </c>
      <c r="D18" s="81">
        <f t="shared" ref="D18:D22" si="8">C18/7.5345</f>
        <v>337.19291260203062</v>
      </c>
      <c r="E18" s="81">
        <v>1491</v>
      </c>
      <c r="F18" s="81">
        <v>5633.99</v>
      </c>
      <c r="G18" s="125">
        <f t="shared" si="2"/>
        <v>3.7786653252850435</v>
      </c>
    </row>
    <row r="19" spans="1:7" s="82" customFormat="1" ht="30">
      <c r="A19" s="118">
        <v>6415</v>
      </c>
      <c r="B19" s="119" t="s">
        <v>1309</v>
      </c>
      <c r="C19" s="154">
        <v>438.19</v>
      </c>
      <c r="D19" s="81">
        <f t="shared" si="8"/>
        <v>58.157807419204985</v>
      </c>
      <c r="E19" s="81">
        <v>500</v>
      </c>
      <c r="F19" s="81">
        <v>6.6</v>
      </c>
      <c r="G19" s="125">
        <f t="shared" si="2"/>
        <v>1.32E-2</v>
      </c>
    </row>
    <row r="20" spans="1:7" s="82" customFormat="1" ht="17.25" customHeight="1">
      <c r="A20" s="121">
        <v>6425</v>
      </c>
      <c r="B20" s="36" t="s">
        <v>1433</v>
      </c>
      <c r="C20" s="154">
        <v>0</v>
      </c>
      <c r="D20" s="81">
        <f t="shared" si="8"/>
        <v>0</v>
      </c>
      <c r="E20" s="81">
        <v>0</v>
      </c>
      <c r="F20" s="81">
        <v>0</v>
      </c>
      <c r="G20" s="125" t="str">
        <f t="shared" si="2"/>
        <v>***</v>
      </c>
    </row>
    <row r="21" spans="1:7" s="82" customFormat="1">
      <c r="A21" s="118">
        <v>6614</v>
      </c>
      <c r="B21" s="119" t="s">
        <v>1367</v>
      </c>
      <c r="C21" s="154">
        <v>24093.64</v>
      </c>
      <c r="D21" s="81">
        <f t="shared" si="8"/>
        <v>3197.7755657309708</v>
      </c>
      <c r="E21" s="81">
        <f>4645+664</f>
        <v>5309</v>
      </c>
      <c r="F21" s="81">
        <v>956.95</v>
      </c>
      <c r="G21" s="125">
        <f t="shared" si="2"/>
        <v>0.18025051798832173</v>
      </c>
    </row>
    <row r="22" spans="1:7" s="82" customFormat="1">
      <c r="A22" s="118">
        <v>6615</v>
      </c>
      <c r="B22" s="118" t="s">
        <v>1310</v>
      </c>
      <c r="C22" s="154">
        <v>745404.88</v>
      </c>
      <c r="D22" s="81">
        <f t="shared" si="8"/>
        <v>98932.229079567318</v>
      </c>
      <c r="E22" s="81">
        <v>265446</v>
      </c>
      <c r="F22" s="81">
        <v>260574.23</v>
      </c>
      <c r="G22" s="125">
        <f t="shared" si="2"/>
        <v>0.98164685096027071</v>
      </c>
    </row>
    <row r="23" spans="1:7">
      <c r="A23" s="213" t="s">
        <v>1395</v>
      </c>
      <c r="B23" s="214"/>
      <c r="C23" s="152">
        <f>C24+C25</f>
        <v>4189402.39</v>
      </c>
      <c r="D23" s="62">
        <f>D24+D25</f>
        <v>556029.25077974645</v>
      </c>
      <c r="E23" s="62">
        <f t="shared" ref="E23:F23" si="9">E24+E25</f>
        <v>2528370</v>
      </c>
      <c r="F23" s="62">
        <f t="shared" si="9"/>
        <v>562839.42000000004</v>
      </c>
      <c r="G23" s="124">
        <f t="shared" si="2"/>
        <v>0.22260959432361563</v>
      </c>
    </row>
    <row r="24" spans="1:7" s="82" customFormat="1">
      <c r="A24" s="118">
        <v>6526</v>
      </c>
      <c r="B24" s="118" t="s">
        <v>1368</v>
      </c>
      <c r="C24" s="154">
        <v>4189402.39</v>
      </c>
      <c r="D24" s="81">
        <f>C24/7.5345</f>
        <v>556029.25077974645</v>
      </c>
      <c r="E24" s="81">
        <v>2528370</v>
      </c>
      <c r="F24" s="81">
        <v>560920.63</v>
      </c>
      <c r="G24" s="125">
        <f t="shared" si="2"/>
        <v>0.22185069036572971</v>
      </c>
    </row>
    <row r="25" spans="1:7" s="82" customFormat="1">
      <c r="A25" s="118">
        <v>6831</v>
      </c>
      <c r="B25" s="118" t="s">
        <v>1304</v>
      </c>
      <c r="C25" s="154">
        <v>0</v>
      </c>
      <c r="D25" s="81">
        <f>C25/7.5345</f>
        <v>0</v>
      </c>
      <c r="E25" s="81">
        <v>0</v>
      </c>
      <c r="F25" s="81">
        <v>1918.79</v>
      </c>
      <c r="G25" s="125" t="str">
        <f t="shared" si="2"/>
        <v>***</v>
      </c>
    </row>
    <row r="26" spans="1:7">
      <c r="A26" s="213" t="s">
        <v>1396</v>
      </c>
      <c r="B26" s="214"/>
      <c r="C26" s="152">
        <f>C27</f>
        <v>465781.97</v>
      </c>
      <c r="D26" s="62">
        <f>D27</f>
        <v>61819.891167297093</v>
      </c>
      <c r="E26" s="62">
        <f t="shared" ref="E26:F26" si="10">E27</f>
        <v>10000</v>
      </c>
      <c r="F26" s="62">
        <f t="shared" si="10"/>
        <v>52452.06</v>
      </c>
      <c r="G26" s="124">
        <f t="shared" si="2"/>
        <v>5.2452059999999996</v>
      </c>
    </row>
    <row r="27" spans="1:7" s="82" customFormat="1">
      <c r="A27" s="118">
        <v>6323</v>
      </c>
      <c r="B27" s="118" t="s">
        <v>1305</v>
      </c>
      <c r="C27" s="154">
        <v>465781.97</v>
      </c>
      <c r="D27" s="81">
        <f>C27/7.5345</f>
        <v>61819.891167297093</v>
      </c>
      <c r="E27" s="81">
        <v>10000</v>
      </c>
      <c r="F27" s="81">
        <v>52452.06</v>
      </c>
      <c r="G27" s="125">
        <f t="shared" si="2"/>
        <v>5.2452059999999996</v>
      </c>
    </row>
    <row r="28" spans="1:7">
      <c r="A28" s="213" t="s">
        <v>1397</v>
      </c>
      <c r="B28" s="214"/>
      <c r="C28" s="152">
        <f>C29+C30+C31+C32+C33+C34+C35</f>
        <v>405009.78</v>
      </c>
      <c r="D28" s="62">
        <f>D29+D30+D31+D32+D33+D34+D35</f>
        <v>53754.035436989841</v>
      </c>
      <c r="E28" s="62">
        <f t="shared" ref="E28:F28" si="11">E29+E30+E31+E32+E33+E34+E35</f>
        <v>145376</v>
      </c>
      <c r="F28" s="62">
        <f t="shared" si="11"/>
        <v>62112.959999999999</v>
      </c>
      <c r="G28" s="124">
        <f t="shared" si="2"/>
        <v>0.42725731895223418</v>
      </c>
    </row>
    <row r="29" spans="1:7">
      <c r="A29" s="137">
        <v>6311</v>
      </c>
      <c r="B29" s="136" t="s">
        <v>1437</v>
      </c>
      <c r="C29" s="153">
        <v>135433.06</v>
      </c>
      <c r="D29" s="68">
        <f>C29/7.5345</f>
        <v>17975.056075386554</v>
      </c>
      <c r="E29" s="68">
        <v>0</v>
      </c>
      <c r="F29" s="68">
        <v>9972.94</v>
      </c>
      <c r="G29" s="125"/>
    </row>
    <row r="30" spans="1:7" s="82" customFormat="1" ht="30" hidden="1">
      <c r="A30" s="118">
        <v>6331</v>
      </c>
      <c r="B30" s="119" t="s">
        <v>1388</v>
      </c>
      <c r="C30" s="154">
        <v>0</v>
      </c>
      <c r="D30" s="68">
        <f t="shared" ref="D30:D35" si="12">C30/7.5345</f>
        <v>0</v>
      </c>
      <c r="E30" s="81">
        <v>0</v>
      </c>
      <c r="F30" s="81">
        <v>0</v>
      </c>
      <c r="G30" s="125" t="str">
        <f t="shared" si="2"/>
        <v>***</v>
      </c>
    </row>
    <row r="31" spans="1:7" s="82" customFormat="1" hidden="1">
      <c r="A31" s="118">
        <v>6342</v>
      </c>
      <c r="B31" s="118" t="s">
        <v>1401</v>
      </c>
      <c r="C31" s="154">
        <v>0</v>
      </c>
      <c r="D31" s="68">
        <f t="shared" si="12"/>
        <v>0</v>
      </c>
      <c r="E31" s="81">
        <v>0</v>
      </c>
      <c r="F31" s="81">
        <v>0</v>
      </c>
      <c r="G31" s="125" t="str">
        <f t="shared" ref="G31:G33" si="13">IF(E31&lt;&gt;0,F31/E31,"***")</f>
        <v>***</v>
      </c>
    </row>
    <row r="32" spans="1:7" s="82" customFormat="1" ht="30">
      <c r="A32" s="118">
        <v>6361</v>
      </c>
      <c r="B32" s="36" t="s">
        <v>1442</v>
      </c>
      <c r="C32" s="154">
        <v>69744.600000000006</v>
      </c>
      <c r="D32" s="68">
        <f t="shared" si="12"/>
        <v>9256.6991837547284</v>
      </c>
      <c r="E32" s="81">
        <v>0</v>
      </c>
      <c r="F32" s="81">
        <v>15636.14</v>
      </c>
      <c r="G32" s="125" t="str">
        <f t="shared" si="13"/>
        <v>***</v>
      </c>
    </row>
    <row r="33" spans="1:13" s="82" customFormat="1">
      <c r="A33" s="118">
        <v>6381</v>
      </c>
      <c r="B33" s="36" t="s">
        <v>1431</v>
      </c>
      <c r="C33" s="154">
        <v>32593.9</v>
      </c>
      <c r="D33" s="68">
        <f t="shared" si="12"/>
        <v>4325.9539451854798</v>
      </c>
      <c r="E33" s="81">
        <v>5645</v>
      </c>
      <c r="F33" s="81">
        <v>1527.76</v>
      </c>
      <c r="G33" s="125">
        <f t="shared" si="13"/>
        <v>0.27063950398582814</v>
      </c>
    </row>
    <row r="34" spans="1:13" s="82" customFormat="1" ht="30">
      <c r="A34" s="118">
        <v>6391</v>
      </c>
      <c r="B34" s="119" t="s">
        <v>1369</v>
      </c>
      <c r="C34" s="154">
        <v>77140.34</v>
      </c>
      <c r="D34" s="68">
        <f t="shared" si="12"/>
        <v>10238.282566859114</v>
      </c>
      <c r="E34" s="81">
        <v>139731</v>
      </c>
      <c r="F34" s="81">
        <v>34319.379999999997</v>
      </c>
      <c r="G34" s="125">
        <f t="shared" si="2"/>
        <v>0.24561035131788936</v>
      </c>
    </row>
    <row r="35" spans="1:13" s="82" customFormat="1">
      <c r="A35" s="118">
        <v>6393</v>
      </c>
      <c r="B35" s="119" t="s">
        <v>1372</v>
      </c>
      <c r="C35" s="154">
        <v>90097.88</v>
      </c>
      <c r="D35" s="68">
        <f t="shared" si="12"/>
        <v>11958.043665803969</v>
      </c>
      <c r="E35" s="81">
        <v>0</v>
      </c>
      <c r="F35" s="81">
        <v>656.74</v>
      </c>
      <c r="G35" s="125" t="str">
        <f t="shared" si="2"/>
        <v>***</v>
      </c>
    </row>
    <row r="36" spans="1:13" hidden="1">
      <c r="A36" s="213" t="s">
        <v>1398</v>
      </c>
      <c r="B36" s="214"/>
      <c r="C36" s="152">
        <f>C37</f>
        <v>0</v>
      </c>
      <c r="D36" s="62"/>
      <c r="E36" s="62">
        <f t="shared" ref="E36:F36" si="14">E37</f>
        <v>0</v>
      </c>
      <c r="F36" s="62">
        <f t="shared" si="14"/>
        <v>0</v>
      </c>
      <c r="G36" s="124" t="str">
        <f t="shared" si="2"/>
        <v>***</v>
      </c>
    </row>
    <row r="37" spans="1:13" s="82" customFormat="1" hidden="1">
      <c r="A37" s="118">
        <v>6323</v>
      </c>
      <c r="B37" s="118" t="s">
        <v>1371</v>
      </c>
      <c r="C37" s="154"/>
      <c r="D37" s="81"/>
      <c r="E37" s="81"/>
      <c r="F37" s="81"/>
      <c r="G37" s="125" t="str">
        <f t="shared" si="2"/>
        <v>***</v>
      </c>
    </row>
    <row r="38" spans="1:13">
      <c r="A38" s="213" t="s">
        <v>1399</v>
      </c>
      <c r="B38" s="214"/>
      <c r="C38" s="152">
        <f>C39+C40</f>
        <v>102900.04</v>
      </c>
      <c r="D38" s="62">
        <f>D39+D40</f>
        <v>13657.182294777356</v>
      </c>
      <c r="E38" s="62">
        <f>E39+E40</f>
        <v>689216</v>
      </c>
      <c r="F38" s="62">
        <f t="shared" ref="F38" si="15">F39+F40</f>
        <v>22465.38</v>
      </c>
      <c r="G38" s="124">
        <f t="shared" si="2"/>
        <v>3.2595557851239673E-2</v>
      </c>
    </row>
    <row r="39" spans="1:13" s="82" customFormat="1">
      <c r="A39" s="118">
        <v>6631</v>
      </c>
      <c r="B39" s="118" t="s">
        <v>1311</v>
      </c>
      <c r="C39" s="154">
        <v>102900.04</v>
      </c>
      <c r="D39" s="81">
        <f>C39/7.5345</f>
        <v>13657.182294777356</v>
      </c>
      <c r="E39" s="81">
        <f>5030+684186</f>
        <v>689216</v>
      </c>
      <c r="F39" s="81">
        <v>22125.38</v>
      </c>
      <c r="G39" s="125">
        <f t="shared" si="2"/>
        <v>3.2102243708793762E-2</v>
      </c>
    </row>
    <row r="40" spans="1:13" s="82" customFormat="1">
      <c r="A40" s="118">
        <v>6632</v>
      </c>
      <c r="B40" s="118" t="s">
        <v>1312</v>
      </c>
      <c r="C40" s="154">
        <v>0</v>
      </c>
      <c r="D40" s="81">
        <f>C40/7.5345</f>
        <v>0</v>
      </c>
      <c r="E40" s="81">
        <v>0</v>
      </c>
      <c r="F40" s="81">
        <v>340</v>
      </c>
      <c r="G40" s="125" t="str">
        <f t="shared" si="2"/>
        <v>***</v>
      </c>
    </row>
    <row r="41" spans="1:13" s="84" customFormat="1">
      <c r="A41" s="78">
        <v>7</v>
      </c>
      <c r="B41" s="79" t="s">
        <v>1363</v>
      </c>
      <c r="C41" s="173">
        <f>C42</f>
        <v>5480</v>
      </c>
      <c r="D41" s="83">
        <f>D42</f>
        <v>727.32099011215075</v>
      </c>
      <c r="E41" s="83">
        <f t="shared" ref="E41:F41" si="16">E42</f>
        <v>2654</v>
      </c>
      <c r="F41" s="83">
        <f t="shared" si="16"/>
        <v>0</v>
      </c>
      <c r="G41" s="123">
        <f t="shared" ref="G41" si="17">IF(E41&lt;&gt;0,F41/E41,"***")</f>
        <v>0</v>
      </c>
    </row>
    <row r="42" spans="1:13" s="76" customFormat="1" ht="33.75" customHeight="1">
      <c r="A42" s="213" t="s">
        <v>1400</v>
      </c>
      <c r="B42" s="214"/>
      <c r="C42" s="152">
        <f>C43+C44</f>
        <v>5480</v>
      </c>
      <c r="D42" s="62">
        <f>D43+D44</f>
        <v>727.32099011215075</v>
      </c>
      <c r="E42" s="62">
        <f t="shared" ref="E42" si="18">E43+E44</f>
        <v>2654</v>
      </c>
      <c r="F42" s="62">
        <f>F43+F44</f>
        <v>0</v>
      </c>
      <c r="G42" s="124">
        <f t="shared" si="2"/>
        <v>0</v>
      </c>
      <c r="M42" s="77"/>
    </row>
    <row r="43" spans="1:13" s="82" customFormat="1">
      <c r="A43" s="118">
        <v>7221</v>
      </c>
      <c r="B43" s="118" t="s">
        <v>1380</v>
      </c>
      <c r="C43" s="154">
        <v>2000</v>
      </c>
      <c r="D43" s="81">
        <f>C43/7.5345</f>
        <v>265.44561682925212</v>
      </c>
      <c r="E43" s="81">
        <v>1327</v>
      </c>
      <c r="F43" s="81">
        <v>0</v>
      </c>
      <c r="G43" s="125">
        <f t="shared" si="2"/>
        <v>0</v>
      </c>
    </row>
    <row r="44" spans="1:13" s="82" customFormat="1">
      <c r="A44" s="118">
        <v>7227</v>
      </c>
      <c r="B44" s="36" t="s">
        <v>1283</v>
      </c>
      <c r="C44" s="154">
        <v>3480</v>
      </c>
      <c r="D44" s="81">
        <f>C44/7.5345</f>
        <v>461.87537328289864</v>
      </c>
      <c r="E44" s="81">
        <v>1327</v>
      </c>
      <c r="F44" s="81">
        <v>0</v>
      </c>
      <c r="G44" s="125">
        <f t="shared" si="2"/>
        <v>0</v>
      </c>
    </row>
    <row r="45" spans="1:13">
      <c r="A45" s="210" t="s">
        <v>1313</v>
      </c>
      <c r="B45" s="211"/>
      <c r="C45" s="155">
        <f>C8+C41</f>
        <v>30679340.679999992</v>
      </c>
      <c r="D45" s="61">
        <f>D8+D41</f>
        <v>4071848.2553586825</v>
      </c>
      <c r="E45" s="61">
        <f t="shared" ref="E45:F45" si="19">E8+E41</f>
        <v>11627093</v>
      </c>
      <c r="F45" s="61">
        <f t="shared" si="19"/>
        <v>4774036.9399999995</v>
      </c>
      <c r="G45" s="123">
        <f t="shared" si="2"/>
        <v>0.41059591937554807</v>
      </c>
    </row>
    <row r="48" spans="1:13">
      <c r="B48" s="149"/>
      <c r="C48" s="156"/>
      <c r="D48" s="150"/>
      <c r="E48" s="150"/>
      <c r="F48" s="150"/>
    </row>
    <row r="51" spans="6:6">
      <c r="F51" s="11"/>
    </row>
  </sheetData>
  <mergeCells count="13">
    <mergeCell ref="A42:B42"/>
    <mergeCell ref="A14:B14"/>
    <mergeCell ref="A45:B45"/>
    <mergeCell ref="A23:B23"/>
    <mergeCell ref="A26:B26"/>
    <mergeCell ref="A28:B28"/>
    <mergeCell ref="A36:B36"/>
    <mergeCell ref="A38:B38"/>
    <mergeCell ref="A4:G4"/>
    <mergeCell ref="A2:G2"/>
    <mergeCell ref="A9:B9"/>
    <mergeCell ref="A11:B11"/>
    <mergeCell ref="A16:B16"/>
  </mergeCells>
  <pageMargins left="0.70866141732283472" right="0.70866141732283472" top="0.74803149606299213" bottom="0.74803149606299213" header="0.31496062992125984" footer="0.31496062992125984"/>
  <pageSetup paperSize="8" scale="92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2:H210"/>
  <sheetViews>
    <sheetView topLeftCell="A191" zoomScale="160" zoomScaleNormal="160" workbookViewId="0">
      <selection activeCell="E212" sqref="E212"/>
    </sheetView>
  </sheetViews>
  <sheetFormatPr defaultRowHeight="15"/>
  <cols>
    <col min="1" max="1" width="8.85546875" style="51" customWidth="1"/>
    <col min="2" max="2" width="59.42578125" customWidth="1"/>
    <col min="3" max="3" width="17.85546875" style="187" customWidth="1"/>
    <col min="4" max="4" width="16.85546875" style="102" customWidth="1"/>
    <col min="5" max="5" width="18.7109375" style="95" bestFit="1" customWidth="1"/>
    <col min="6" max="6" width="15.5703125" style="95" customWidth="1"/>
    <col min="7" max="7" width="13.140625" style="82" customWidth="1"/>
    <col min="8" max="8" width="16.7109375" customWidth="1"/>
  </cols>
  <sheetData>
    <row r="2" spans="1:7">
      <c r="A2" s="212" t="s">
        <v>1420</v>
      </c>
      <c r="B2" s="212"/>
      <c r="C2" s="212"/>
      <c r="D2" s="212"/>
      <c r="E2" s="212"/>
      <c r="F2" s="212"/>
      <c r="G2" s="212"/>
    </row>
    <row r="3" spans="1:7" s="76" customFormat="1">
      <c r="A3" s="93"/>
      <c r="B3" s="93"/>
      <c r="C3" s="179"/>
      <c r="D3" s="96"/>
      <c r="E3" s="96"/>
      <c r="F3" s="96"/>
      <c r="G3" s="100"/>
    </row>
    <row r="4" spans="1:7">
      <c r="A4" s="198" t="s">
        <v>1361</v>
      </c>
      <c r="B4" s="198"/>
      <c r="C4" s="198"/>
      <c r="D4" s="198"/>
      <c r="E4" s="198"/>
      <c r="F4" s="198"/>
    </row>
    <row r="5" spans="1:7">
      <c r="A5" s="85"/>
      <c r="B5" s="85"/>
      <c r="C5" s="180"/>
      <c r="D5" s="188"/>
      <c r="E5" s="97"/>
      <c r="F5" s="97"/>
    </row>
    <row r="6" spans="1:7" ht="54.75" customHeight="1">
      <c r="A6" s="65" t="s">
        <v>1302</v>
      </c>
      <c r="B6" s="65" t="s">
        <v>1360</v>
      </c>
      <c r="C6" s="148" t="s">
        <v>1498</v>
      </c>
      <c r="D6" s="59" t="s">
        <v>1502</v>
      </c>
      <c r="E6" s="59" t="s">
        <v>1499</v>
      </c>
      <c r="F6" s="59" t="s">
        <v>1500</v>
      </c>
      <c r="G6" s="59" t="s">
        <v>1501</v>
      </c>
    </row>
    <row r="7" spans="1:7">
      <c r="A7" s="65">
        <v>1</v>
      </c>
      <c r="B7" s="65">
        <v>2</v>
      </c>
      <c r="C7" s="181">
        <v>3</v>
      </c>
      <c r="D7" s="108">
        <v>4</v>
      </c>
      <c r="E7" s="109">
        <v>5</v>
      </c>
      <c r="F7" s="110">
        <v>6</v>
      </c>
      <c r="G7" s="110">
        <v>7</v>
      </c>
    </row>
    <row r="8" spans="1:7" s="105" customFormat="1" ht="51" customHeight="1">
      <c r="A8" s="217" t="s">
        <v>1504</v>
      </c>
      <c r="B8" s="218"/>
      <c r="C8" s="182">
        <f>C9+C38</f>
        <v>22293082.459999997</v>
      </c>
      <c r="D8" s="103">
        <f>D9+D38</f>
        <v>2958800.5123100397</v>
      </c>
      <c r="E8" s="103">
        <f t="shared" ref="E8:F8" si="0">E9+E38</f>
        <v>7978399</v>
      </c>
      <c r="F8" s="103">
        <f t="shared" si="0"/>
        <v>3374453.0699999994</v>
      </c>
      <c r="G8" s="104">
        <f>IF(E8&lt;&gt;0,F8/E8,"***")</f>
        <v>0.42294864796809478</v>
      </c>
    </row>
    <row r="9" spans="1:7" s="47" customFormat="1">
      <c r="A9" s="35">
        <v>3</v>
      </c>
      <c r="B9" s="34" t="s">
        <v>1297</v>
      </c>
      <c r="C9" s="183">
        <f>SUM(C10:C37)</f>
        <v>22004298.809999999</v>
      </c>
      <c r="D9" s="98">
        <f>SUM(D10:D37)</f>
        <v>2920472.3352578133</v>
      </c>
      <c r="E9" s="98">
        <f>SUM(E10:E37)</f>
        <v>7871017</v>
      </c>
      <c r="F9" s="98">
        <f t="shared" ref="F9" si="1">SUM(F10:F37)</f>
        <v>3347806.9699999993</v>
      </c>
      <c r="G9" s="73">
        <f t="shared" ref="G9:G58" si="2">IF(E9&lt;&gt;0,F9/E9,"***")</f>
        <v>0.42533346961390112</v>
      </c>
    </row>
    <row r="10" spans="1:7">
      <c r="A10" s="37">
        <v>3111</v>
      </c>
      <c r="B10" s="38" t="s">
        <v>1285</v>
      </c>
      <c r="C10" s="154">
        <v>14938415.07</v>
      </c>
      <c r="D10" s="81">
        <f>C10/7.5345</f>
        <v>1982668.4013537725</v>
      </c>
      <c r="E10" s="70">
        <f>5410920+266224</f>
        <v>5677144</v>
      </c>
      <c r="F10" s="70">
        <f>1579108.63+258758.7+468858.06</f>
        <v>2306725.3899999997</v>
      </c>
      <c r="G10" s="101">
        <f t="shared" si="2"/>
        <v>0.40631792852180598</v>
      </c>
    </row>
    <row r="11" spans="1:7" hidden="1">
      <c r="A11" s="37">
        <v>3113</v>
      </c>
      <c r="B11" s="38" t="s">
        <v>1373</v>
      </c>
      <c r="C11" s="154">
        <v>0</v>
      </c>
      <c r="D11" s="81">
        <f t="shared" ref="D11:D37" si="3">C11/7.5345</f>
        <v>0</v>
      </c>
      <c r="E11" s="70">
        <v>0</v>
      </c>
      <c r="F11" s="70">
        <v>0</v>
      </c>
      <c r="G11" s="101" t="str">
        <f t="shared" si="2"/>
        <v>***</v>
      </c>
    </row>
    <row r="12" spans="1:7">
      <c r="A12" s="37">
        <v>3121</v>
      </c>
      <c r="B12" s="38" t="s">
        <v>1286</v>
      </c>
      <c r="C12" s="154">
        <v>336665.88</v>
      </c>
      <c r="D12" s="81">
        <f t="shared" si="3"/>
        <v>44683.241090981486</v>
      </c>
      <c r="E12" s="70">
        <f>26279+52878+5973+39817+3318</f>
        <v>128265</v>
      </c>
      <c r="F12" s="70">
        <v>65828.59</v>
      </c>
      <c r="G12" s="101">
        <f t="shared" si="2"/>
        <v>0.51322332670642812</v>
      </c>
    </row>
    <row r="13" spans="1:7">
      <c r="A13" s="37">
        <v>3132</v>
      </c>
      <c r="B13" s="38" t="s">
        <v>1325</v>
      </c>
      <c r="C13" s="154">
        <v>2463964.39</v>
      </c>
      <c r="D13" s="81">
        <f t="shared" si="3"/>
        <v>327024.27367443097</v>
      </c>
      <c r="E13" s="70">
        <v>800243</v>
      </c>
      <c r="F13" s="70">
        <v>378841.85</v>
      </c>
      <c r="G13" s="101">
        <f t="shared" si="2"/>
        <v>0.4734085146636709</v>
      </c>
    </row>
    <row r="14" spans="1:7">
      <c r="A14" s="37">
        <v>3211</v>
      </c>
      <c r="B14" s="38" t="s">
        <v>1261</v>
      </c>
      <c r="C14" s="154">
        <v>176230.5</v>
      </c>
      <c r="D14" s="81">
        <f t="shared" si="3"/>
        <v>23389.806888313757</v>
      </c>
      <c r="E14" s="70">
        <f>3982+7963+9291+7963+7963+15927+3982</f>
        <v>57071</v>
      </c>
      <c r="F14" s="70">
        <v>30738.31</v>
      </c>
      <c r="G14" s="101">
        <f t="shared" si="2"/>
        <v>0.53859771162236514</v>
      </c>
    </row>
    <row r="15" spans="1:7">
      <c r="A15" s="37">
        <v>3212</v>
      </c>
      <c r="B15" s="50" t="s">
        <v>1262</v>
      </c>
      <c r="C15" s="154">
        <v>837653.83</v>
      </c>
      <c r="D15" s="81">
        <f t="shared" si="3"/>
        <v>111175.76879686773</v>
      </c>
      <c r="E15" s="70">
        <v>362052</v>
      </c>
      <c r="F15" s="70">
        <v>129575.92</v>
      </c>
      <c r="G15" s="101">
        <f t="shared" si="2"/>
        <v>0.35789312032525716</v>
      </c>
    </row>
    <row r="16" spans="1:7">
      <c r="A16" s="37">
        <v>3213</v>
      </c>
      <c r="B16" s="38" t="s">
        <v>1263</v>
      </c>
      <c r="C16" s="154">
        <v>267223.64</v>
      </c>
      <c r="D16" s="81">
        <f t="shared" si="3"/>
        <v>35466.671975579004</v>
      </c>
      <c r="E16" s="70">
        <v>46453</v>
      </c>
      <c r="F16" s="70">
        <v>25497.31</v>
      </c>
      <c r="G16" s="101">
        <f t="shared" si="2"/>
        <v>0.54888403332400493</v>
      </c>
    </row>
    <row r="17" spans="1:7">
      <c r="A17" s="37">
        <v>3221</v>
      </c>
      <c r="B17" s="38" t="s">
        <v>1264</v>
      </c>
      <c r="C17" s="154">
        <v>206119.82</v>
      </c>
      <c r="D17" s="81">
        <f t="shared" si="3"/>
        <v>27356.801380317207</v>
      </c>
      <c r="E17" s="70">
        <f>10618+37162</f>
        <v>47780</v>
      </c>
      <c r="F17" s="70">
        <v>16947.419999999998</v>
      </c>
      <c r="G17" s="101">
        <f t="shared" si="2"/>
        <v>0.35469694432817073</v>
      </c>
    </row>
    <row r="18" spans="1:7">
      <c r="A18" s="37">
        <v>3225</v>
      </c>
      <c r="B18" s="38" t="s">
        <v>1406</v>
      </c>
      <c r="C18" s="154">
        <v>14332.41</v>
      </c>
      <c r="D18" s="81">
        <f t="shared" si="3"/>
        <v>1902.2377065498704</v>
      </c>
      <c r="E18" s="70">
        <v>9291</v>
      </c>
      <c r="F18" s="70">
        <v>6070.12</v>
      </c>
      <c r="G18" s="101">
        <f t="shared" ref="G18" si="4">IF(E18&lt;&gt;0,F18/E18,"***")</f>
        <v>0.65333333333333332</v>
      </c>
    </row>
    <row r="19" spans="1:7">
      <c r="A19" s="37">
        <v>3231</v>
      </c>
      <c r="B19" s="38" t="s">
        <v>1268</v>
      </c>
      <c r="C19" s="154">
        <v>92647.5</v>
      </c>
      <c r="D19" s="81">
        <f t="shared" si="3"/>
        <v>12296.436392594067</v>
      </c>
      <c r="E19" s="70">
        <v>19908</v>
      </c>
      <c r="F19" s="70">
        <v>8865.8700000000008</v>
      </c>
      <c r="G19" s="101">
        <f t="shared" si="2"/>
        <v>0.4453420735382761</v>
      </c>
    </row>
    <row r="20" spans="1:7" hidden="1">
      <c r="A20" s="37">
        <v>3232</v>
      </c>
      <c r="B20" s="38" t="s">
        <v>1269</v>
      </c>
      <c r="C20" s="154">
        <v>0</v>
      </c>
      <c r="D20" s="81">
        <f>C20/7.5345</f>
        <v>0</v>
      </c>
      <c r="E20" s="70">
        <v>0</v>
      </c>
      <c r="F20" s="70">
        <v>0</v>
      </c>
      <c r="G20" s="101" t="str">
        <f t="shared" si="2"/>
        <v>***</v>
      </c>
    </row>
    <row r="21" spans="1:7">
      <c r="A21" s="37">
        <v>3233</v>
      </c>
      <c r="B21" s="38" t="s">
        <v>1270</v>
      </c>
      <c r="C21" s="154">
        <v>126494.5</v>
      </c>
      <c r="D21" s="81">
        <f t="shared" si="3"/>
        <v>16788.705289003916</v>
      </c>
      <c r="E21" s="70">
        <f>33181+1327</f>
        <v>34508</v>
      </c>
      <c r="F21" s="70">
        <v>7239.53</v>
      </c>
      <c r="G21" s="101">
        <f t="shared" si="2"/>
        <v>0.20979280166917816</v>
      </c>
    </row>
    <row r="22" spans="1:7">
      <c r="A22" s="37">
        <v>3235</v>
      </c>
      <c r="B22" s="38" t="s">
        <v>1272</v>
      </c>
      <c r="C22" s="154">
        <v>74211.740000000005</v>
      </c>
      <c r="D22" s="81">
        <f t="shared" si="3"/>
        <v>9849.5905501360412</v>
      </c>
      <c r="E22" s="70">
        <f>3982+10618</f>
        <v>14600</v>
      </c>
      <c r="F22" s="70">
        <v>448.5</v>
      </c>
      <c r="G22" s="101">
        <f t="shared" ref="G22" si="5">IF(E22&lt;&gt;0,F22/E22,"***")</f>
        <v>3.0719178082191781E-2</v>
      </c>
    </row>
    <row r="23" spans="1:7">
      <c r="A23" s="37">
        <v>3236</v>
      </c>
      <c r="B23" s="38" t="s">
        <v>1273</v>
      </c>
      <c r="C23" s="154">
        <v>0</v>
      </c>
      <c r="D23" s="81">
        <f t="shared" si="3"/>
        <v>0</v>
      </c>
      <c r="E23" s="70">
        <v>27758</v>
      </c>
      <c r="F23" s="70">
        <v>0</v>
      </c>
      <c r="G23" s="101">
        <f t="shared" si="2"/>
        <v>0</v>
      </c>
    </row>
    <row r="24" spans="1:7">
      <c r="A24" s="37">
        <v>3237</v>
      </c>
      <c r="B24" s="38" t="s">
        <v>1274</v>
      </c>
      <c r="C24" s="154">
        <v>1925154.53</v>
      </c>
      <c r="D24" s="81">
        <f t="shared" si="3"/>
        <v>255511.91585373945</v>
      </c>
      <c r="E24" s="70">
        <f>3982+386359+7963+29119</f>
        <v>427423</v>
      </c>
      <c r="F24" s="70">
        <v>274844.12</v>
      </c>
      <c r="G24" s="101">
        <f t="shared" si="2"/>
        <v>0.64302604211752756</v>
      </c>
    </row>
    <row r="25" spans="1:7">
      <c r="A25" s="37">
        <v>3238</v>
      </c>
      <c r="B25" s="38" t="s">
        <v>1275</v>
      </c>
      <c r="C25" s="154">
        <v>900</v>
      </c>
      <c r="D25" s="81">
        <f t="shared" si="3"/>
        <v>119.45052757316344</v>
      </c>
      <c r="E25" s="70">
        <v>0</v>
      </c>
      <c r="F25" s="70">
        <v>1335.52</v>
      </c>
      <c r="G25" s="101" t="str">
        <f t="shared" si="2"/>
        <v>***</v>
      </c>
    </row>
    <row r="26" spans="1:7" s="47" customFormat="1">
      <c r="A26" s="37">
        <v>3239</v>
      </c>
      <c r="B26" s="38" t="s">
        <v>1276</v>
      </c>
      <c r="C26" s="154">
        <v>205114.87</v>
      </c>
      <c r="D26" s="81">
        <f t="shared" si="3"/>
        <v>27223.421594000927</v>
      </c>
      <c r="E26" s="70">
        <f>39817+6636</f>
        <v>46453</v>
      </c>
      <c r="F26" s="70">
        <v>22805.89</v>
      </c>
      <c r="G26" s="101">
        <f t="shared" si="2"/>
        <v>0.49094547176716252</v>
      </c>
    </row>
    <row r="27" spans="1:7">
      <c r="A27" s="37">
        <v>3241</v>
      </c>
      <c r="B27" s="38" t="s">
        <v>1322</v>
      </c>
      <c r="C27" s="154">
        <v>220138.96</v>
      </c>
      <c r="D27" s="81">
        <f t="shared" si="3"/>
        <v>29217.461012675027</v>
      </c>
      <c r="E27" s="70">
        <f>59725+9291</f>
        <v>69016</v>
      </c>
      <c r="F27" s="70">
        <f>60134.57+47.84+784.97</f>
        <v>60967.38</v>
      </c>
      <c r="G27" s="101">
        <f t="shared" si="2"/>
        <v>0.88338037556508631</v>
      </c>
    </row>
    <row r="28" spans="1:7">
      <c r="A28" s="37">
        <v>3292</v>
      </c>
      <c r="B28" s="38" t="s">
        <v>1277</v>
      </c>
      <c r="C28" s="154">
        <v>13500</v>
      </c>
      <c r="D28" s="81">
        <f t="shared" si="3"/>
        <v>1791.7579135974515</v>
      </c>
      <c r="E28" s="70">
        <v>5309</v>
      </c>
      <c r="F28" s="70">
        <v>261.98</v>
      </c>
      <c r="G28" s="101">
        <f t="shared" si="2"/>
        <v>4.934639291768695E-2</v>
      </c>
    </row>
    <row r="29" spans="1:7">
      <c r="A29" s="37">
        <v>3293</v>
      </c>
      <c r="B29" s="38" t="s">
        <v>1287</v>
      </c>
      <c r="C29" s="154">
        <v>5160</v>
      </c>
      <c r="D29" s="81">
        <f t="shared" si="3"/>
        <v>684.84969141947045</v>
      </c>
      <c r="E29" s="70">
        <v>664</v>
      </c>
      <c r="F29" s="70">
        <v>0</v>
      </c>
      <c r="G29" s="101">
        <f t="shared" ref="G29" si="6">IF(E29&lt;&gt;0,F29/E29,"***")</f>
        <v>0</v>
      </c>
    </row>
    <row r="30" spans="1:7">
      <c r="A30" s="37">
        <v>3294</v>
      </c>
      <c r="B30" s="38" t="s">
        <v>1278</v>
      </c>
      <c r="C30" s="154">
        <v>42476.33</v>
      </c>
      <c r="D30" s="81">
        <f t="shared" si="3"/>
        <v>5637.5778087464332</v>
      </c>
      <c r="E30" s="70">
        <f>6636+6636</f>
        <v>13272</v>
      </c>
      <c r="F30" s="70">
        <f>4805.54+185.78</f>
        <v>4991.32</v>
      </c>
      <c r="G30" s="101">
        <f t="shared" si="2"/>
        <v>0.37607896323086193</v>
      </c>
    </row>
    <row r="31" spans="1:7">
      <c r="A31" s="37">
        <v>3295</v>
      </c>
      <c r="B31" s="38" t="s">
        <v>1279</v>
      </c>
      <c r="C31" s="154">
        <v>16917</v>
      </c>
      <c r="D31" s="81">
        <f t="shared" si="3"/>
        <v>2245.2717499502287</v>
      </c>
      <c r="E31" s="70">
        <v>4973</v>
      </c>
      <c r="F31" s="70">
        <v>2893.28</v>
      </c>
      <c r="G31" s="101">
        <f t="shared" si="2"/>
        <v>0.58179770762115424</v>
      </c>
    </row>
    <row r="32" spans="1:7">
      <c r="A32" s="37">
        <v>3296</v>
      </c>
      <c r="B32" s="36" t="s">
        <v>1370</v>
      </c>
      <c r="C32" s="154">
        <v>3750</v>
      </c>
      <c r="D32" s="81">
        <f t="shared" si="3"/>
        <v>497.71053155484765</v>
      </c>
      <c r="E32" s="70">
        <v>0</v>
      </c>
      <c r="F32" s="70">
        <v>1756.5</v>
      </c>
      <c r="G32" s="101" t="str">
        <f t="shared" ref="G32" si="7">IF(E32&lt;&gt;0,F32/E32,"***")</f>
        <v>***</v>
      </c>
    </row>
    <row r="33" spans="1:7">
      <c r="A33" s="37">
        <v>3299</v>
      </c>
      <c r="B33" s="38" t="s">
        <v>1280</v>
      </c>
      <c r="C33" s="154">
        <v>250</v>
      </c>
      <c r="D33" s="81">
        <f t="shared" si="3"/>
        <v>33.180702103656515</v>
      </c>
      <c r="E33" s="70">
        <v>0</v>
      </c>
      <c r="F33" s="70">
        <v>0</v>
      </c>
      <c r="G33" s="101" t="str">
        <f t="shared" ref="G33" si="8">IF(E33&lt;&gt;0,F33/E33,"***")</f>
        <v>***</v>
      </c>
    </row>
    <row r="34" spans="1:7">
      <c r="A34" s="37">
        <v>3433</v>
      </c>
      <c r="B34" s="36" t="s">
        <v>1366</v>
      </c>
      <c r="C34" s="154">
        <v>3977.84</v>
      </c>
      <c r="D34" s="81">
        <f t="shared" si="3"/>
        <v>527.95009622403609</v>
      </c>
      <c r="E34" s="70">
        <v>0</v>
      </c>
      <c r="F34" s="70">
        <v>1172.17</v>
      </c>
      <c r="G34" s="101" t="str">
        <f t="shared" ref="G34" si="9">IF(E34&lt;&gt;0,F34/E34,"***")</f>
        <v>***</v>
      </c>
    </row>
    <row r="35" spans="1:7">
      <c r="A35" s="37">
        <v>3691</v>
      </c>
      <c r="B35" s="36" t="s">
        <v>1306</v>
      </c>
      <c r="C35" s="154">
        <v>0</v>
      </c>
      <c r="D35" s="81">
        <f t="shared" si="3"/>
        <v>0</v>
      </c>
      <c r="E35" s="70">
        <v>0</v>
      </c>
      <c r="F35" s="70">
        <v>0</v>
      </c>
      <c r="G35" s="101" t="str">
        <f t="shared" ref="G35" si="10">IF(E35&lt;&gt;0,F35/E35,"***")</f>
        <v>***</v>
      </c>
    </row>
    <row r="36" spans="1:7">
      <c r="A36" s="37">
        <v>3721</v>
      </c>
      <c r="B36" s="38" t="s">
        <v>1425</v>
      </c>
      <c r="C36" s="154">
        <v>33000</v>
      </c>
      <c r="D36" s="81">
        <f t="shared" si="3"/>
        <v>4379.8526776826593</v>
      </c>
      <c r="E36" s="70">
        <v>36707</v>
      </c>
      <c r="F36" s="70">
        <v>0</v>
      </c>
      <c r="G36" s="101">
        <f>IF(E36&lt;&gt;0,F36/E36,"***")</f>
        <v>0</v>
      </c>
    </row>
    <row r="37" spans="1:7">
      <c r="A37" s="37">
        <v>3811</v>
      </c>
      <c r="B37" s="38" t="s">
        <v>1293</v>
      </c>
      <c r="C37" s="154">
        <v>0</v>
      </c>
      <c r="D37" s="81">
        <f t="shared" si="3"/>
        <v>0</v>
      </c>
      <c r="E37" s="70">
        <v>42127</v>
      </c>
      <c r="F37" s="70">
        <v>0</v>
      </c>
      <c r="G37" s="101">
        <f>IF(E37&lt;&gt;0,F37/E37,"***")</f>
        <v>0</v>
      </c>
    </row>
    <row r="38" spans="1:7" s="47" customFormat="1">
      <c r="A38" s="35">
        <v>4</v>
      </c>
      <c r="B38" s="34" t="s">
        <v>1424</v>
      </c>
      <c r="C38" s="183">
        <f>SUM(C39:C43)</f>
        <v>288783.65000000002</v>
      </c>
      <c r="D38" s="98">
        <f>SUM(D39:D43)</f>
        <v>38328.177052226427</v>
      </c>
      <c r="E38" s="98">
        <f>SUM(E39:E43)</f>
        <v>107382</v>
      </c>
      <c r="F38" s="98">
        <f t="shared" ref="F38" si="11">SUM(F39:F43)</f>
        <v>26646.100000000002</v>
      </c>
      <c r="G38" s="73">
        <f t="shared" si="2"/>
        <v>0.24814307798327467</v>
      </c>
    </row>
    <row r="39" spans="1:7" s="46" customFormat="1">
      <c r="A39" s="48">
        <v>4123</v>
      </c>
      <c r="B39" s="49" t="s">
        <v>1294</v>
      </c>
      <c r="C39" s="154">
        <v>162713.5</v>
      </c>
      <c r="D39" s="81">
        <f>C39/7.5345</f>
        <v>21595.792686973255</v>
      </c>
      <c r="E39" s="81">
        <v>33566</v>
      </c>
      <c r="F39" s="81">
        <v>7307.63</v>
      </c>
      <c r="G39" s="101">
        <f t="shared" ref="G39:G40" si="12">IF(E39&lt;&gt;0,F39/E39,"***")</f>
        <v>0.21770928916165166</v>
      </c>
    </row>
    <row r="40" spans="1:7" s="46" customFormat="1">
      <c r="A40" s="48">
        <v>4124</v>
      </c>
      <c r="B40" s="38" t="s">
        <v>1440</v>
      </c>
      <c r="C40" s="154">
        <v>0</v>
      </c>
      <c r="D40" s="81">
        <v>0</v>
      </c>
      <c r="E40" s="81">
        <v>25603</v>
      </c>
      <c r="F40" s="81">
        <v>0</v>
      </c>
      <c r="G40" s="101">
        <f t="shared" si="12"/>
        <v>0</v>
      </c>
    </row>
    <row r="41" spans="1:7" s="46" customFormat="1">
      <c r="A41" s="48">
        <v>4221</v>
      </c>
      <c r="B41" s="36" t="s">
        <v>1282</v>
      </c>
      <c r="C41" s="154">
        <v>0</v>
      </c>
      <c r="D41" s="81">
        <f t="shared" ref="D41:D43" si="13">C41/7.5345</f>
        <v>0</v>
      </c>
      <c r="E41" s="81">
        <v>0</v>
      </c>
      <c r="F41" s="81">
        <v>0</v>
      </c>
      <c r="G41" s="101" t="str">
        <f t="shared" ref="G41" si="14">IF(E41&lt;&gt;0,F41/E41,"***")</f>
        <v>***</v>
      </c>
    </row>
    <row r="42" spans="1:7" s="17" customFormat="1" ht="15" customHeight="1">
      <c r="A42" s="37">
        <v>4227</v>
      </c>
      <c r="B42" s="38" t="s">
        <v>1283</v>
      </c>
      <c r="C42" s="154">
        <v>67877.64</v>
      </c>
      <c r="D42" s="81">
        <f t="shared" si="13"/>
        <v>9008.9110093569579</v>
      </c>
      <c r="E42" s="70">
        <v>21453</v>
      </c>
      <c r="F42" s="70">
        <v>16257.36</v>
      </c>
      <c r="G42" s="101">
        <f t="shared" si="2"/>
        <v>0.75781289330163615</v>
      </c>
    </row>
    <row r="43" spans="1:7" s="17" customFormat="1" ht="15" customHeight="1">
      <c r="A43" s="37">
        <v>4241</v>
      </c>
      <c r="B43" s="38" t="s">
        <v>1321</v>
      </c>
      <c r="C43" s="154">
        <v>58192.51</v>
      </c>
      <c r="D43" s="81">
        <f t="shared" si="13"/>
        <v>7723.4733558962107</v>
      </c>
      <c r="E43" s="70">
        <v>26760</v>
      </c>
      <c r="F43" s="70">
        <f>1838.63+1242.48</f>
        <v>3081.11</v>
      </c>
      <c r="G43" s="101">
        <f t="shared" ref="G43" si="15">IF(E43&lt;&gt;0,F43/E43,"***")</f>
        <v>0.11513863976083707</v>
      </c>
    </row>
    <row r="44" spans="1:7" s="105" customFormat="1" ht="15.75">
      <c r="A44" s="215" t="s">
        <v>1394</v>
      </c>
      <c r="B44" s="216"/>
      <c r="C44" s="182">
        <f>C45+C66</f>
        <v>710257.87</v>
      </c>
      <c r="D44" s="103">
        <f>D45+D66</f>
        <v>94267.41920499038</v>
      </c>
      <c r="E44" s="103">
        <f>E45+E66</f>
        <v>192116</v>
      </c>
      <c r="F44" s="103">
        <f>F45+F66</f>
        <v>161517.13999999998</v>
      </c>
      <c r="G44" s="104">
        <f>IF(E44&lt;&gt;0,F44/E44,"***")</f>
        <v>0.84072716483791032</v>
      </c>
    </row>
    <row r="45" spans="1:7" s="47" customFormat="1">
      <c r="A45" s="35">
        <v>3</v>
      </c>
      <c r="B45" s="34" t="s">
        <v>1297</v>
      </c>
      <c r="C45" s="183">
        <f>SUM(C46:C65)</f>
        <v>710257.87</v>
      </c>
      <c r="D45" s="98">
        <f>SUM(D46:D65)</f>
        <v>94267.41920499038</v>
      </c>
      <c r="E45" s="98">
        <f>SUM(E46:E65)</f>
        <v>192116</v>
      </c>
      <c r="F45" s="98">
        <f t="shared" ref="F45" si="16">SUM(F46:F65)</f>
        <v>157992.13999999998</v>
      </c>
      <c r="G45" s="73">
        <f t="shared" si="2"/>
        <v>0.82237887526286191</v>
      </c>
    </row>
    <row r="46" spans="1:7">
      <c r="A46" s="37">
        <v>3111</v>
      </c>
      <c r="B46" s="38" t="s">
        <v>1285</v>
      </c>
      <c r="C46" s="154">
        <v>46404.28</v>
      </c>
      <c r="D46" s="81">
        <f>C46/7.5345</f>
        <v>6158.9063640586628</v>
      </c>
      <c r="E46" s="70">
        <v>0</v>
      </c>
      <c r="F46" s="70">
        <f>898.38+254.21+288.86</f>
        <v>1441.4499999999998</v>
      </c>
      <c r="G46" s="101" t="str">
        <f t="shared" si="2"/>
        <v>***</v>
      </c>
    </row>
    <row r="47" spans="1:7" hidden="1">
      <c r="A47" s="37">
        <v>3113</v>
      </c>
      <c r="B47" s="38" t="s">
        <v>1373</v>
      </c>
      <c r="C47" s="154">
        <v>0</v>
      </c>
      <c r="D47" s="81">
        <f t="shared" ref="D47:D65" si="17">C47/7.5345</f>
        <v>0</v>
      </c>
      <c r="E47" s="70">
        <v>0</v>
      </c>
      <c r="F47" s="70">
        <v>0</v>
      </c>
      <c r="G47" s="101" t="str">
        <f t="shared" si="2"/>
        <v>***</v>
      </c>
    </row>
    <row r="48" spans="1:7">
      <c r="A48" s="37">
        <v>3121</v>
      </c>
      <c r="B48" s="38" t="s">
        <v>1286</v>
      </c>
      <c r="C48" s="154">
        <v>1123.17</v>
      </c>
      <c r="D48" s="81">
        <f t="shared" si="17"/>
        <v>149.07027672705556</v>
      </c>
      <c r="E48" s="70">
        <v>0</v>
      </c>
      <c r="F48" s="70">
        <v>0</v>
      </c>
      <c r="G48" s="101" t="str">
        <f t="shared" ref="G48" si="18">IF(E48&lt;&gt;0,F48/E48,"***")</f>
        <v>***</v>
      </c>
    </row>
    <row r="49" spans="1:7">
      <c r="A49" s="37">
        <v>3132</v>
      </c>
      <c r="B49" s="38" t="s">
        <v>1325</v>
      </c>
      <c r="C49" s="154">
        <v>7728.8</v>
      </c>
      <c r="D49" s="81">
        <f t="shared" si="17"/>
        <v>1025.7880416749617</v>
      </c>
      <c r="E49" s="70">
        <v>0</v>
      </c>
      <c r="F49" s="70">
        <v>238.31</v>
      </c>
      <c r="G49" s="101" t="str">
        <f t="shared" si="2"/>
        <v>***</v>
      </c>
    </row>
    <row r="50" spans="1:7">
      <c r="A50" s="37">
        <v>3211</v>
      </c>
      <c r="B50" s="38" t="s">
        <v>1261</v>
      </c>
      <c r="C50" s="154">
        <v>414</v>
      </c>
      <c r="D50" s="81">
        <f t="shared" si="17"/>
        <v>54.947242683655183</v>
      </c>
      <c r="E50" s="70">
        <v>0</v>
      </c>
      <c r="F50" s="70">
        <v>1104.69</v>
      </c>
      <c r="G50" s="101" t="str">
        <f t="shared" si="2"/>
        <v>***</v>
      </c>
    </row>
    <row r="51" spans="1:7">
      <c r="A51" s="37">
        <v>3212</v>
      </c>
      <c r="B51" s="50" t="s">
        <v>1262</v>
      </c>
      <c r="C51" s="154">
        <v>1057.28</v>
      </c>
      <c r="D51" s="81">
        <f t="shared" si="17"/>
        <v>140.32517088061581</v>
      </c>
      <c r="E51" s="70">
        <v>0</v>
      </c>
      <c r="F51" s="70">
        <v>0</v>
      </c>
      <c r="G51" s="101" t="str">
        <f t="shared" ref="G51" si="19">IF(E51&lt;&gt;0,F51/E51,"***")</f>
        <v>***</v>
      </c>
    </row>
    <row r="52" spans="1:7">
      <c r="A52" s="37">
        <v>3221</v>
      </c>
      <c r="B52" s="38" t="s">
        <v>1264</v>
      </c>
      <c r="C52" s="154">
        <v>344.18</v>
      </c>
      <c r="D52" s="81">
        <f t="shared" si="17"/>
        <v>45.680536200145994</v>
      </c>
      <c r="E52" s="70">
        <f>531+531</f>
        <v>1062</v>
      </c>
      <c r="F52" s="70">
        <v>285.45999999999998</v>
      </c>
      <c r="G52" s="101">
        <f t="shared" si="2"/>
        <v>0.26879472693032014</v>
      </c>
    </row>
    <row r="53" spans="1:7">
      <c r="A53" s="37">
        <v>3222</v>
      </c>
      <c r="B53" s="38" t="s">
        <v>1265</v>
      </c>
      <c r="C53" s="154">
        <v>8020.47</v>
      </c>
      <c r="D53" s="81">
        <f t="shared" si="17"/>
        <v>1064.4993032052557</v>
      </c>
      <c r="E53" s="70">
        <f>3982+664</f>
        <v>4646</v>
      </c>
      <c r="F53" s="70">
        <v>755.19</v>
      </c>
      <c r="G53" s="101">
        <f t="shared" si="2"/>
        <v>0.16254627636676713</v>
      </c>
    </row>
    <row r="54" spans="1:7" hidden="1">
      <c r="A54" s="37">
        <v>3225</v>
      </c>
      <c r="B54" s="38" t="s">
        <v>1406</v>
      </c>
      <c r="C54" s="154"/>
      <c r="D54" s="81">
        <f t="shared" si="17"/>
        <v>0</v>
      </c>
      <c r="E54" s="70"/>
      <c r="F54" s="70"/>
      <c r="G54" s="101" t="str">
        <f t="shared" ref="G54" si="20">IF(E54&lt;&gt;0,F54/E54,"***")</f>
        <v>***</v>
      </c>
    </row>
    <row r="55" spans="1:7">
      <c r="A55" s="37">
        <v>3231</v>
      </c>
      <c r="B55" s="38" t="s">
        <v>1268</v>
      </c>
      <c r="C55" s="154">
        <v>0</v>
      </c>
      <c r="D55" s="81">
        <f t="shared" si="17"/>
        <v>0</v>
      </c>
      <c r="E55" s="70">
        <v>0</v>
      </c>
      <c r="F55" s="70">
        <v>39.799999999999997</v>
      </c>
      <c r="G55" s="101" t="str">
        <f t="shared" si="2"/>
        <v>***</v>
      </c>
    </row>
    <row r="56" spans="1:7">
      <c r="A56" s="37">
        <v>3232</v>
      </c>
      <c r="B56" s="38" t="s">
        <v>1269</v>
      </c>
      <c r="C56" s="154">
        <v>0</v>
      </c>
      <c r="D56" s="81">
        <f>C56/7.5345</f>
        <v>0</v>
      </c>
      <c r="E56" s="70">
        <v>0</v>
      </c>
      <c r="F56" s="70">
        <v>0</v>
      </c>
      <c r="G56" s="101" t="str">
        <f t="shared" si="2"/>
        <v>***</v>
      </c>
    </row>
    <row r="57" spans="1:7">
      <c r="A57" s="37">
        <v>3233</v>
      </c>
      <c r="B57" s="38" t="s">
        <v>1270</v>
      </c>
      <c r="C57" s="154">
        <v>298387.83</v>
      </c>
      <c r="D57" s="81">
        <f t="shared" si="17"/>
        <v>39602.87079434601</v>
      </c>
      <c r="E57" s="70">
        <f>42471+19922+33181</f>
        <v>95574</v>
      </c>
      <c r="F57" s="70">
        <f>50757.28-22.07</f>
        <v>50735.21</v>
      </c>
      <c r="G57" s="101">
        <f t="shared" si="2"/>
        <v>0.53084740619833848</v>
      </c>
    </row>
    <row r="58" spans="1:7">
      <c r="A58" s="37">
        <v>3235</v>
      </c>
      <c r="B58" s="38" t="s">
        <v>1272</v>
      </c>
      <c r="C58" s="154">
        <v>0</v>
      </c>
      <c r="D58" s="81">
        <f t="shared" si="17"/>
        <v>0</v>
      </c>
      <c r="E58" s="70">
        <v>0</v>
      </c>
      <c r="F58" s="70">
        <v>7819.43</v>
      </c>
      <c r="G58" s="101" t="str">
        <f t="shared" si="2"/>
        <v>***</v>
      </c>
    </row>
    <row r="59" spans="1:7">
      <c r="A59" s="37">
        <v>3237</v>
      </c>
      <c r="B59" s="38" t="s">
        <v>1274</v>
      </c>
      <c r="C59" s="154">
        <v>300746.56</v>
      </c>
      <c r="D59" s="81">
        <f t="shared" si="17"/>
        <v>39915.928064237836</v>
      </c>
      <c r="E59" s="70">
        <f>66360+14785+3982</f>
        <v>85127</v>
      </c>
      <c r="F59" s="70">
        <v>89595.17</v>
      </c>
      <c r="G59" s="101">
        <f t="shared" ref="G59:G89" si="21">IF(E59&lt;&gt;0,F59/E59,"***")</f>
        <v>1.0524882822136337</v>
      </c>
    </row>
    <row r="60" spans="1:7">
      <c r="A60" s="37">
        <v>3239</v>
      </c>
      <c r="B60" s="38" t="s">
        <v>1276</v>
      </c>
      <c r="C60" s="154">
        <v>33700</v>
      </c>
      <c r="D60" s="81">
        <f t="shared" si="17"/>
        <v>4472.7586435728981</v>
      </c>
      <c r="E60" s="70">
        <v>0</v>
      </c>
      <c r="F60" s="70">
        <v>1076.82</v>
      </c>
      <c r="G60" s="101" t="str">
        <f t="shared" ref="G60:G61" si="22">IF(E60&lt;&gt;0,F60/E60,"***")</f>
        <v>***</v>
      </c>
    </row>
    <row r="61" spans="1:7">
      <c r="A61" s="37">
        <v>3241</v>
      </c>
      <c r="B61" s="38" t="s">
        <v>1322</v>
      </c>
      <c r="C61" s="154">
        <v>520.9</v>
      </c>
      <c r="D61" s="81">
        <f t="shared" si="17"/>
        <v>69.135310903178706</v>
      </c>
      <c r="E61" s="70">
        <v>0</v>
      </c>
      <c r="F61" s="70">
        <v>0</v>
      </c>
      <c r="G61" s="101" t="str">
        <f t="shared" si="22"/>
        <v>***</v>
      </c>
    </row>
    <row r="62" spans="1:7">
      <c r="A62" s="37">
        <v>3293</v>
      </c>
      <c r="B62" s="38" t="s">
        <v>1287</v>
      </c>
      <c r="C62" s="154">
        <v>47949.21</v>
      </c>
      <c r="D62" s="81">
        <f t="shared" si="17"/>
        <v>6363.9538124626715</v>
      </c>
      <c r="E62" s="70">
        <v>5707</v>
      </c>
      <c r="F62" s="70">
        <v>3389.84</v>
      </c>
      <c r="G62" s="101">
        <f t="shared" si="21"/>
        <v>0.59397932363763806</v>
      </c>
    </row>
    <row r="63" spans="1:7">
      <c r="A63" s="37">
        <v>3295</v>
      </c>
      <c r="B63" s="38" t="s">
        <v>1279</v>
      </c>
      <c r="C63" s="154">
        <v>830.49</v>
      </c>
      <c r="D63" s="81">
        <f t="shared" si="17"/>
        <v>110.22496516026278</v>
      </c>
      <c r="E63" s="70">
        <v>0</v>
      </c>
      <c r="F63" s="70">
        <v>0</v>
      </c>
      <c r="G63" s="101" t="str">
        <f t="shared" ref="G63" si="23">IF(E63&lt;&gt;0,F63/E63,"***")</f>
        <v>***</v>
      </c>
    </row>
    <row r="64" spans="1:7">
      <c r="A64" s="37">
        <v>3299</v>
      </c>
      <c r="B64" s="38" t="s">
        <v>1280</v>
      </c>
      <c r="C64" s="154">
        <v>4024.61</v>
      </c>
      <c r="D64" s="81">
        <f t="shared" si="17"/>
        <v>534.1575419735882</v>
      </c>
      <c r="E64" s="70">
        <v>0</v>
      </c>
      <c r="F64" s="70">
        <v>1510.77</v>
      </c>
      <c r="G64" s="101" t="str">
        <f t="shared" si="21"/>
        <v>***</v>
      </c>
    </row>
    <row r="65" spans="1:7" hidden="1">
      <c r="A65" s="128">
        <v>3911</v>
      </c>
      <c r="B65" s="129" t="s">
        <v>1409</v>
      </c>
      <c r="C65" s="184">
        <v>-40993.910000000003</v>
      </c>
      <c r="D65" s="130">
        <f t="shared" si="17"/>
        <v>-5440.826863096423</v>
      </c>
      <c r="E65" s="99">
        <v>0</v>
      </c>
      <c r="F65" s="130">
        <v>0</v>
      </c>
      <c r="G65" s="114" t="str">
        <f t="shared" ref="G65" si="24">IF(E65&lt;&gt;0,F65/E65,"***")</f>
        <v>***</v>
      </c>
    </row>
    <row r="66" spans="1:7" s="47" customFormat="1">
      <c r="A66" s="35">
        <v>4</v>
      </c>
      <c r="B66" s="34" t="s">
        <v>1424</v>
      </c>
      <c r="C66" s="183">
        <f>SUM(C67:C69)</f>
        <v>0</v>
      </c>
      <c r="D66" s="98">
        <f>SUM(D67:D69)</f>
        <v>0</v>
      </c>
      <c r="E66" s="98">
        <f t="shared" ref="E66:F66" si="25">SUM(E67:E69)</f>
        <v>0</v>
      </c>
      <c r="F66" s="98">
        <f t="shared" si="25"/>
        <v>3525</v>
      </c>
      <c r="G66" s="73" t="str">
        <f t="shared" ref="G66:G69" si="26">IF(E66&lt;&gt;0,F66/E66,"***")</f>
        <v>***</v>
      </c>
    </row>
    <row r="67" spans="1:7" s="46" customFormat="1" hidden="1">
      <c r="A67" s="48">
        <v>4123</v>
      </c>
      <c r="B67" s="49" t="s">
        <v>1294</v>
      </c>
      <c r="C67" s="154">
        <v>0</v>
      </c>
      <c r="D67" s="81"/>
      <c r="E67" s="81">
        <v>0</v>
      </c>
      <c r="F67" s="81">
        <v>0</v>
      </c>
      <c r="G67" s="101" t="str">
        <f t="shared" si="26"/>
        <v>***</v>
      </c>
    </row>
    <row r="68" spans="1:7" s="17" customFormat="1" ht="15" hidden="1" customHeight="1">
      <c r="A68" s="37">
        <v>4221</v>
      </c>
      <c r="B68" s="38" t="s">
        <v>1282</v>
      </c>
      <c r="C68" s="154">
        <v>0</v>
      </c>
      <c r="D68" s="81"/>
      <c r="E68" s="70">
        <v>0</v>
      </c>
      <c r="F68" s="70">
        <v>0</v>
      </c>
      <c r="G68" s="101" t="str">
        <f t="shared" si="26"/>
        <v>***</v>
      </c>
    </row>
    <row r="69" spans="1:7" s="17" customFormat="1" ht="15" customHeight="1">
      <c r="A69" s="37">
        <v>4241</v>
      </c>
      <c r="B69" s="38" t="s">
        <v>1321</v>
      </c>
      <c r="C69" s="154">
        <v>0</v>
      </c>
      <c r="D69" s="81">
        <f>C69/7.5345</f>
        <v>0</v>
      </c>
      <c r="E69" s="70">
        <v>0</v>
      </c>
      <c r="F69" s="70">
        <v>3525</v>
      </c>
      <c r="G69" s="101" t="str">
        <f t="shared" si="26"/>
        <v>***</v>
      </c>
    </row>
    <row r="70" spans="1:7" s="105" customFormat="1" ht="15.75">
      <c r="A70" s="215" t="s">
        <v>1395</v>
      </c>
      <c r="B70" s="216"/>
      <c r="C70" s="182">
        <f>C71+C106+C116</f>
        <v>9044211.3299999982</v>
      </c>
      <c r="D70" s="103">
        <f>D71+D106+D116</f>
        <v>1200373.1276129801</v>
      </c>
      <c r="E70" s="103">
        <f t="shared" ref="E70:F70" si="27">E71+E106+E116</f>
        <v>7028919</v>
      </c>
      <c r="F70" s="103">
        <f t="shared" si="27"/>
        <v>1697383.5899999999</v>
      </c>
      <c r="G70" s="104">
        <f t="shared" si="21"/>
        <v>0.24148572348038153</v>
      </c>
    </row>
    <row r="71" spans="1:7" s="47" customFormat="1">
      <c r="A71" s="35">
        <v>3</v>
      </c>
      <c r="B71" s="34" t="s">
        <v>1297</v>
      </c>
      <c r="C71" s="183">
        <f>SUM(C72:C105)</f>
        <v>7352360.8299999982</v>
      </c>
      <c r="D71" s="98">
        <f>SUM(D72:D105)</f>
        <v>975825.97783529072</v>
      </c>
      <c r="E71" s="98">
        <f>SUM(E72:E105)</f>
        <v>2578721</v>
      </c>
      <c r="F71" s="98">
        <f t="shared" ref="F71" si="28">SUM(F72:F105)</f>
        <v>1184002.6599999997</v>
      </c>
      <c r="G71" s="73">
        <f t="shared" si="21"/>
        <v>0.45914337378878894</v>
      </c>
    </row>
    <row r="72" spans="1:7">
      <c r="A72" s="37">
        <v>3111</v>
      </c>
      <c r="B72" s="38" t="s">
        <v>1285</v>
      </c>
      <c r="C72" s="154">
        <v>3242610.95</v>
      </c>
      <c r="D72" s="81">
        <f>C72/7.5345</f>
        <v>430368.43188001856</v>
      </c>
      <c r="E72" s="70">
        <v>1020078</v>
      </c>
      <c r="F72" s="70">
        <f>360309.95+68502.85+110208.43</f>
        <v>539021.23</v>
      </c>
      <c r="G72" s="101">
        <f t="shared" si="21"/>
        <v>0.52841177831499153</v>
      </c>
    </row>
    <row r="73" spans="1:7" hidden="1">
      <c r="A73" s="37">
        <v>3112</v>
      </c>
      <c r="B73" s="38" t="s">
        <v>1365</v>
      </c>
      <c r="C73" s="154">
        <v>0</v>
      </c>
      <c r="D73" s="81">
        <f t="shared" ref="D73:D105" si="29">C73/7.5345</f>
        <v>0</v>
      </c>
      <c r="E73" s="70">
        <v>0</v>
      </c>
      <c r="F73" s="70">
        <v>0</v>
      </c>
      <c r="G73" s="101" t="str">
        <f t="shared" si="21"/>
        <v>***</v>
      </c>
    </row>
    <row r="74" spans="1:7" hidden="1">
      <c r="A74" s="37">
        <v>3113</v>
      </c>
      <c r="B74" s="38" t="s">
        <v>1373</v>
      </c>
      <c r="C74" s="154">
        <v>0</v>
      </c>
      <c r="D74" s="81">
        <f t="shared" si="29"/>
        <v>0</v>
      </c>
      <c r="E74" s="70">
        <v>0</v>
      </c>
      <c r="F74" s="70">
        <v>0</v>
      </c>
      <c r="G74" s="101" t="str">
        <f t="shared" ref="G74" si="30">IF(E74&lt;&gt;0,F74/E74,"***")</f>
        <v>***</v>
      </c>
    </row>
    <row r="75" spans="1:7">
      <c r="A75" s="37">
        <v>3121</v>
      </c>
      <c r="B75" s="38" t="s">
        <v>1286</v>
      </c>
      <c r="C75" s="154">
        <v>936827.92</v>
      </c>
      <c r="D75" s="81">
        <f t="shared" si="29"/>
        <v>124338.43254363262</v>
      </c>
      <c r="E75" s="70">
        <f>5442+16325+2256+3627+13936+407459</f>
        <v>449045</v>
      </c>
      <c r="F75" s="70">
        <v>142950.22</v>
      </c>
      <c r="G75" s="101">
        <f t="shared" si="21"/>
        <v>0.31834274961306774</v>
      </c>
    </row>
    <row r="76" spans="1:7">
      <c r="A76" s="37">
        <v>3132</v>
      </c>
      <c r="B76" s="38" t="s">
        <v>1325</v>
      </c>
      <c r="C76" s="154">
        <v>538386.64</v>
      </c>
      <c r="D76" s="81">
        <f t="shared" si="29"/>
        <v>71456.18687371425</v>
      </c>
      <c r="E76" s="70">
        <v>225427</v>
      </c>
      <c r="F76" s="70">
        <v>87754.16</v>
      </c>
      <c r="G76" s="101">
        <f t="shared" si="21"/>
        <v>0.38927972248222265</v>
      </c>
    </row>
    <row r="77" spans="1:7">
      <c r="A77" s="37">
        <v>3211</v>
      </c>
      <c r="B77" s="38" t="s">
        <v>1261</v>
      </c>
      <c r="C77" s="154">
        <v>202770.84</v>
      </c>
      <c r="D77" s="81">
        <f t="shared" si="29"/>
        <v>26912.315349392793</v>
      </c>
      <c r="E77" s="70">
        <f>6636+5309+6636+3982+18581+7963+7963</f>
        <v>57070</v>
      </c>
      <c r="F77" s="70">
        <v>51253.71</v>
      </c>
      <c r="G77" s="101">
        <f t="shared" si="21"/>
        <v>0.89808498335377607</v>
      </c>
    </row>
    <row r="78" spans="1:7">
      <c r="A78" s="37">
        <v>3212</v>
      </c>
      <c r="B78" s="38" t="s">
        <v>1262</v>
      </c>
      <c r="C78" s="154">
        <v>187440.56</v>
      </c>
      <c r="D78" s="81">
        <f t="shared" si="29"/>
        <v>24877.637534010217</v>
      </c>
      <c r="E78" s="70">
        <v>66361</v>
      </c>
      <c r="F78" s="70">
        <v>28437.01</v>
      </c>
      <c r="G78" s="101">
        <f t="shared" si="21"/>
        <v>0.42851991380479498</v>
      </c>
    </row>
    <row r="79" spans="1:7">
      <c r="A79" s="37">
        <v>3213</v>
      </c>
      <c r="B79" s="38" t="s">
        <v>1263</v>
      </c>
      <c r="C79" s="154">
        <v>6500</v>
      </c>
      <c r="D79" s="81">
        <f t="shared" si="29"/>
        <v>862.69825469506929</v>
      </c>
      <c r="E79" s="70">
        <v>3982</v>
      </c>
      <c r="F79" s="70">
        <v>1401.27</v>
      </c>
      <c r="G79" s="101">
        <f t="shared" si="21"/>
        <v>0.35190105474635863</v>
      </c>
    </row>
    <row r="80" spans="1:7">
      <c r="A80" s="37">
        <v>3214</v>
      </c>
      <c r="B80" s="38" t="s">
        <v>1405</v>
      </c>
      <c r="C80" s="154">
        <v>0</v>
      </c>
      <c r="D80" s="81">
        <f t="shared" si="29"/>
        <v>0</v>
      </c>
      <c r="E80" s="70">
        <v>5000</v>
      </c>
      <c r="F80" s="70">
        <f>482.65+286.73+5144.29+12.94</f>
        <v>5926.61</v>
      </c>
      <c r="G80" s="101">
        <f t="shared" ref="G80" si="31">IF(E80&lt;&gt;0,F80/E80,"***")</f>
        <v>1.185322</v>
      </c>
    </row>
    <row r="81" spans="1:7">
      <c r="A81" s="37">
        <v>3221</v>
      </c>
      <c r="B81" s="38" t="s">
        <v>1291</v>
      </c>
      <c r="C81" s="154">
        <v>63330.41</v>
      </c>
      <c r="D81" s="81">
        <f t="shared" si="29"/>
        <v>8405.3898732497182</v>
      </c>
      <c r="E81" s="70">
        <f>6636+9954+6636-4801</f>
        <v>18425</v>
      </c>
      <c r="F81" s="70">
        <v>13310.26</v>
      </c>
      <c r="G81" s="101">
        <f t="shared" si="21"/>
        <v>0.72240217096336501</v>
      </c>
    </row>
    <row r="82" spans="1:7" ht="15.75" customHeight="1">
      <c r="A82" s="37">
        <v>3223</v>
      </c>
      <c r="B82" s="38" t="s">
        <v>1266</v>
      </c>
      <c r="C82" s="154">
        <v>880167.56</v>
      </c>
      <c r="D82" s="81">
        <f t="shared" si="29"/>
        <v>116818.31043864888</v>
      </c>
      <c r="E82" s="70">
        <f>106178+106178+10618</f>
        <v>222974</v>
      </c>
      <c r="F82" s="70">
        <v>78221.919999999998</v>
      </c>
      <c r="G82" s="101">
        <f t="shared" si="21"/>
        <v>0.35081184353332673</v>
      </c>
    </row>
    <row r="83" spans="1:7">
      <c r="A83" s="37">
        <v>3224</v>
      </c>
      <c r="B83" s="50" t="s">
        <v>1267</v>
      </c>
      <c r="C83" s="154">
        <v>11761.15</v>
      </c>
      <c r="D83" s="81">
        <f t="shared" si="29"/>
        <v>1560.9728581856791</v>
      </c>
      <c r="E83" s="70">
        <f>2654+1991+3318</f>
        <v>7963</v>
      </c>
      <c r="F83" s="70">
        <v>3927.13</v>
      </c>
      <c r="G83" s="101">
        <f t="shared" si="21"/>
        <v>0.49317217129222657</v>
      </c>
    </row>
    <row r="84" spans="1:7">
      <c r="A84" s="37">
        <v>3225</v>
      </c>
      <c r="B84" s="50" t="s">
        <v>1406</v>
      </c>
      <c r="C84" s="154">
        <v>25240.36</v>
      </c>
      <c r="D84" s="81">
        <f t="shared" si="29"/>
        <v>3349.9714645961908</v>
      </c>
      <c r="E84" s="70">
        <f>7963+3982</f>
        <v>11945</v>
      </c>
      <c r="F84" s="70">
        <v>2062.42</v>
      </c>
      <c r="G84" s="101">
        <f t="shared" ref="G84" si="32">IF(E84&lt;&gt;0,F84/E84,"***")</f>
        <v>0.17265969024696526</v>
      </c>
    </row>
    <row r="85" spans="1:7">
      <c r="A85" s="37">
        <v>3227</v>
      </c>
      <c r="B85" s="38" t="s">
        <v>1292</v>
      </c>
      <c r="C85" s="154">
        <v>720</v>
      </c>
      <c r="D85" s="81">
        <f t="shared" si="29"/>
        <v>95.560422058530747</v>
      </c>
      <c r="E85" s="70">
        <v>1991</v>
      </c>
      <c r="F85" s="70">
        <v>0</v>
      </c>
      <c r="G85" s="101">
        <f t="shared" si="21"/>
        <v>0</v>
      </c>
    </row>
    <row r="86" spans="1:7">
      <c r="A86" s="37">
        <v>3231</v>
      </c>
      <c r="B86" s="38" t="s">
        <v>1268</v>
      </c>
      <c r="C86" s="154">
        <v>104089.76</v>
      </c>
      <c r="D86" s="81">
        <f t="shared" si="29"/>
        <v>13815.085274404404</v>
      </c>
      <c r="E86" s="70">
        <f>23890+3982+398</f>
        <v>28270</v>
      </c>
      <c r="F86" s="70">
        <v>14689.44</v>
      </c>
      <c r="G86" s="101">
        <f t="shared" si="21"/>
        <v>0.51961230986911922</v>
      </c>
    </row>
    <row r="87" spans="1:7">
      <c r="A87" s="37">
        <v>3232</v>
      </c>
      <c r="B87" s="38" t="s">
        <v>1269</v>
      </c>
      <c r="C87" s="154">
        <v>112871.24</v>
      </c>
      <c r="D87" s="81">
        <f t="shared" si="29"/>
        <v>14980.587962041276</v>
      </c>
      <c r="E87" s="70">
        <f>42471+1991+1991</f>
        <v>46453</v>
      </c>
      <c r="F87" s="70">
        <v>19494.36</v>
      </c>
      <c r="G87" s="101">
        <f t="shared" si="21"/>
        <v>0.41965771855423761</v>
      </c>
    </row>
    <row r="88" spans="1:7" hidden="1">
      <c r="A88" s="37">
        <v>3233</v>
      </c>
      <c r="B88" s="38" t="s">
        <v>1270</v>
      </c>
      <c r="C88" s="154">
        <v>0</v>
      </c>
      <c r="D88" s="81">
        <f t="shared" si="29"/>
        <v>0</v>
      </c>
      <c r="E88" s="70">
        <v>0</v>
      </c>
      <c r="F88" s="70">
        <v>0</v>
      </c>
      <c r="G88" s="101" t="str">
        <f t="shared" si="21"/>
        <v>***</v>
      </c>
    </row>
    <row r="89" spans="1:7">
      <c r="A89" s="37">
        <v>3234</v>
      </c>
      <c r="B89" s="38" t="s">
        <v>1271</v>
      </c>
      <c r="C89" s="154">
        <v>95020.6</v>
      </c>
      <c r="D89" s="81">
        <f t="shared" si="29"/>
        <v>12611.400889242817</v>
      </c>
      <c r="E89" s="70">
        <f>8627+4645+664+9954</f>
        <v>23890</v>
      </c>
      <c r="F89" s="70">
        <v>10005.92</v>
      </c>
      <c r="G89" s="101">
        <f t="shared" si="21"/>
        <v>0.41883298451234824</v>
      </c>
    </row>
    <row r="90" spans="1:7">
      <c r="A90" s="37">
        <v>3235</v>
      </c>
      <c r="B90" s="38" t="s">
        <v>1272</v>
      </c>
      <c r="C90" s="154">
        <v>184356.37</v>
      </c>
      <c r="D90" s="81">
        <f t="shared" si="29"/>
        <v>24468.295175525913</v>
      </c>
      <c r="E90" s="70">
        <f>26545+10352</f>
        <v>36897</v>
      </c>
      <c r="F90" s="70">
        <v>11813.75</v>
      </c>
      <c r="G90" s="101">
        <f t="shared" ref="G90:G122" si="33">IF(E90&lt;&gt;0,F90/E90,"***")</f>
        <v>0.32018185760359918</v>
      </c>
    </row>
    <row r="91" spans="1:7">
      <c r="A91" s="37">
        <v>3236</v>
      </c>
      <c r="B91" s="38" t="s">
        <v>1273</v>
      </c>
      <c r="C91" s="154">
        <v>1250</v>
      </c>
      <c r="D91" s="81">
        <f t="shared" si="29"/>
        <v>165.90351051828256</v>
      </c>
      <c r="E91" s="70">
        <f>1327+664</f>
        <v>1991</v>
      </c>
      <c r="F91" s="70">
        <v>0</v>
      </c>
      <c r="G91" s="101">
        <f t="shared" ref="G91" si="34">IF(E91&lt;&gt;0,F91/E91,"***")</f>
        <v>0</v>
      </c>
    </row>
    <row r="92" spans="1:7">
      <c r="A92" s="37">
        <v>3237</v>
      </c>
      <c r="B92" s="38" t="s">
        <v>1274</v>
      </c>
      <c r="C92" s="185">
        <v>5419.31</v>
      </c>
      <c r="D92" s="81">
        <f t="shared" si="29"/>
        <v>719.26604286946713</v>
      </c>
      <c r="E92" s="70">
        <f>3982+6636+2654+398+3982+66361</f>
        <v>84013</v>
      </c>
      <c r="F92" s="70">
        <v>22439.38</v>
      </c>
      <c r="G92" s="101">
        <f t="shared" si="33"/>
        <v>0.26709414019258926</v>
      </c>
    </row>
    <row r="93" spans="1:7">
      <c r="A93" s="37">
        <v>3238</v>
      </c>
      <c r="B93" s="38" t="s">
        <v>1275</v>
      </c>
      <c r="C93" s="154">
        <v>46626.13</v>
      </c>
      <c r="D93" s="81">
        <f t="shared" si="29"/>
        <v>6188.3509191054472</v>
      </c>
      <c r="E93" s="70">
        <v>19908</v>
      </c>
      <c r="F93" s="70">
        <v>5760.59</v>
      </c>
      <c r="G93" s="101">
        <f t="shared" si="33"/>
        <v>0.28936055856941933</v>
      </c>
    </row>
    <row r="94" spans="1:7" s="47" customFormat="1">
      <c r="A94" s="37">
        <v>3239</v>
      </c>
      <c r="B94" s="38" t="s">
        <v>1276</v>
      </c>
      <c r="C94" s="154">
        <v>164872.48000000001</v>
      </c>
      <c r="D94" s="81">
        <f t="shared" si="29"/>
        <v>21882.338575884267</v>
      </c>
      <c r="E94" s="70">
        <f>19908+2654+25483+10618</f>
        <v>58663</v>
      </c>
      <c r="F94" s="70">
        <v>28808.84</v>
      </c>
      <c r="G94" s="101">
        <f t="shared" si="33"/>
        <v>0.49109046588139033</v>
      </c>
    </row>
    <row r="95" spans="1:7" hidden="1">
      <c r="A95" s="37">
        <v>3241</v>
      </c>
      <c r="B95" s="38" t="s">
        <v>1322</v>
      </c>
      <c r="C95" s="154">
        <v>0</v>
      </c>
      <c r="D95" s="81">
        <f t="shared" si="29"/>
        <v>0</v>
      </c>
      <c r="E95" s="70">
        <v>0</v>
      </c>
      <c r="F95" s="70">
        <v>0</v>
      </c>
      <c r="G95" s="101" t="str">
        <f t="shared" si="33"/>
        <v>***</v>
      </c>
    </row>
    <row r="96" spans="1:7">
      <c r="A96" s="37">
        <v>3292</v>
      </c>
      <c r="B96" s="38" t="s">
        <v>1277</v>
      </c>
      <c r="C96" s="154">
        <v>62547.45</v>
      </c>
      <c r="D96" s="81">
        <f t="shared" si="29"/>
        <v>8301.4732231734015</v>
      </c>
      <c r="E96" s="70">
        <f>6636+37000+6636</f>
        <v>50272</v>
      </c>
      <c r="F96" s="70">
        <v>11939.63</v>
      </c>
      <c r="G96" s="101">
        <f t="shared" si="33"/>
        <v>0.23750059675366009</v>
      </c>
    </row>
    <row r="97" spans="1:7">
      <c r="A97" s="37">
        <v>3293</v>
      </c>
      <c r="B97" s="38" t="s">
        <v>1287</v>
      </c>
      <c r="C97" s="154">
        <v>243075.42</v>
      </c>
      <c r="D97" s="81">
        <f t="shared" si="29"/>
        <v>32261.652398964761</v>
      </c>
      <c r="E97" s="70">
        <v>71170</v>
      </c>
      <c r="F97" s="70">
        <v>53814.73</v>
      </c>
      <c r="G97" s="101">
        <f t="shared" si="33"/>
        <v>0.7561434593227484</v>
      </c>
    </row>
    <row r="98" spans="1:7" hidden="1">
      <c r="A98" s="37">
        <v>3294</v>
      </c>
      <c r="B98" s="38" t="s">
        <v>1278</v>
      </c>
      <c r="C98" s="154">
        <v>0</v>
      </c>
      <c r="D98" s="81">
        <f t="shared" si="29"/>
        <v>0</v>
      </c>
      <c r="E98" s="70">
        <v>0</v>
      </c>
      <c r="F98" s="70">
        <v>0</v>
      </c>
      <c r="G98" s="101" t="str">
        <f t="shared" si="33"/>
        <v>***</v>
      </c>
    </row>
    <row r="99" spans="1:7">
      <c r="A99" s="37">
        <v>3295</v>
      </c>
      <c r="B99" s="38" t="s">
        <v>1279</v>
      </c>
      <c r="C99" s="154">
        <v>19290.8</v>
      </c>
      <c r="D99" s="81">
        <f t="shared" si="29"/>
        <v>2560.3291525648679</v>
      </c>
      <c r="E99" s="70">
        <f>664+664+1327+3185+3982</f>
        <v>9822</v>
      </c>
      <c r="F99" s="70">
        <v>10605.05</v>
      </c>
      <c r="G99" s="101">
        <f t="shared" si="33"/>
        <v>1.079724088780289</v>
      </c>
    </row>
    <row r="100" spans="1:7">
      <c r="A100" s="37">
        <v>3296</v>
      </c>
      <c r="B100" s="38" t="s">
        <v>1370</v>
      </c>
      <c r="C100" s="154">
        <v>0</v>
      </c>
      <c r="D100" s="81">
        <f t="shared" si="29"/>
        <v>0</v>
      </c>
      <c r="E100" s="70">
        <v>5309</v>
      </c>
      <c r="F100" s="70">
        <v>0</v>
      </c>
      <c r="G100" s="101">
        <f t="shared" si="33"/>
        <v>0</v>
      </c>
    </row>
    <row r="101" spans="1:7">
      <c r="A101" s="37">
        <v>3299</v>
      </c>
      <c r="B101" s="38" t="s">
        <v>1280</v>
      </c>
      <c r="C101" s="154">
        <v>24812.01</v>
      </c>
      <c r="D101" s="81">
        <f t="shared" si="29"/>
        <v>3293.1196496117855</v>
      </c>
      <c r="E101" s="70">
        <v>5309</v>
      </c>
      <c r="F101" s="70">
        <v>7595.27</v>
      </c>
      <c r="G101" s="101">
        <f t="shared" si="33"/>
        <v>1.430640421925033</v>
      </c>
    </row>
    <row r="102" spans="1:7">
      <c r="A102" s="37">
        <v>3431</v>
      </c>
      <c r="B102" s="38" t="s">
        <v>1281</v>
      </c>
      <c r="C102" s="154">
        <v>34274.89</v>
      </c>
      <c r="D102" s="81">
        <f t="shared" si="29"/>
        <v>4549.0596589023817</v>
      </c>
      <c r="E102" s="70">
        <v>5973</v>
      </c>
      <c r="F102" s="70">
        <v>5360.66</v>
      </c>
      <c r="G102" s="101">
        <f t="shared" si="33"/>
        <v>0.89748200234388076</v>
      </c>
    </row>
    <row r="103" spans="1:7" ht="16.5" customHeight="1">
      <c r="A103" s="37">
        <v>3432</v>
      </c>
      <c r="B103" s="50" t="s">
        <v>1288</v>
      </c>
      <c r="C103" s="154">
        <v>4764.79</v>
      </c>
      <c r="D103" s="81">
        <f t="shared" si="29"/>
        <v>632.39631030592602</v>
      </c>
      <c r="E103" s="70">
        <v>663</v>
      </c>
      <c r="F103" s="70">
        <v>352.4</v>
      </c>
      <c r="G103" s="101">
        <f t="shared" si="33"/>
        <v>0.53152337858220211</v>
      </c>
    </row>
    <row r="104" spans="1:7" s="47" customFormat="1">
      <c r="A104" s="37">
        <v>3433</v>
      </c>
      <c r="B104" s="50" t="s">
        <v>1366</v>
      </c>
      <c r="C104" s="154">
        <v>4.0599999999999996</v>
      </c>
      <c r="D104" s="81">
        <f t="shared" si="29"/>
        <v>0.53885460216338166</v>
      </c>
      <c r="E104" s="70">
        <v>40</v>
      </c>
      <c r="F104" s="70">
        <v>0.5</v>
      </c>
      <c r="G104" s="101">
        <f t="shared" si="33"/>
        <v>1.2500000000000001E-2</v>
      </c>
    </row>
    <row r="105" spans="1:7">
      <c r="A105" s="48">
        <v>3721</v>
      </c>
      <c r="B105" s="49" t="s">
        <v>1374</v>
      </c>
      <c r="C105" s="154">
        <v>153329.13</v>
      </c>
      <c r="D105" s="81">
        <f t="shared" si="29"/>
        <v>20350.272745371291</v>
      </c>
      <c r="E105" s="81">
        <v>39817</v>
      </c>
      <c r="F105" s="81">
        <v>27056.2</v>
      </c>
      <c r="G105" s="101">
        <f t="shared" si="33"/>
        <v>0.67951377552301784</v>
      </c>
    </row>
    <row r="106" spans="1:7" s="47" customFormat="1">
      <c r="A106" s="35">
        <v>4</v>
      </c>
      <c r="B106" s="34" t="s">
        <v>1424</v>
      </c>
      <c r="C106" s="183">
        <f>SUM(C107:C115)</f>
        <v>1691850.5</v>
      </c>
      <c r="D106" s="98">
        <f>SUM(D107:D115)</f>
        <v>224547.14977768928</v>
      </c>
      <c r="E106" s="98">
        <f>SUM(E107:E115)</f>
        <v>4450198</v>
      </c>
      <c r="F106" s="98">
        <f t="shared" ref="F106" si="35">SUM(F107:F115)</f>
        <v>513380.93000000005</v>
      </c>
      <c r="G106" s="73">
        <f t="shared" si="33"/>
        <v>0.1153613681908086</v>
      </c>
    </row>
    <row r="107" spans="1:7">
      <c r="A107" s="37">
        <v>4123</v>
      </c>
      <c r="B107" s="38" t="s">
        <v>1294</v>
      </c>
      <c r="C107" s="154">
        <v>0</v>
      </c>
      <c r="D107" s="81">
        <f>C107/7.5345</f>
        <v>0</v>
      </c>
      <c r="E107" s="70">
        <v>19523</v>
      </c>
      <c r="F107" s="81">
        <v>0</v>
      </c>
      <c r="G107" s="101">
        <f t="shared" si="33"/>
        <v>0</v>
      </c>
    </row>
    <row r="108" spans="1:7">
      <c r="A108" s="37">
        <v>4124</v>
      </c>
      <c r="B108" s="38" t="s">
        <v>1376</v>
      </c>
      <c r="C108" s="154">
        <v>26184.59</v>
      </c>
      <c r="D108" s="81">
        <f>C108/7.5345</f>
        <v>3475.2923219855329</v>
      </c>
      <c r="E108" s="70">
        <v>491460</v>
      </c>
      <c r="F108" s="70">
        <f>3921.56+261329.35</f>
        <v>265250.91000000003</v>
      </c>
      <c r="G108" s="101">
        <f t="shared" si="33"/>
        <v>0.53972024172872668</v>
      </c>
    </row>
    <row r="109" spans="1:7">
      <c r="A109" s="37">
        <v>4212</v>
      </c>
      <c r="B109" s="38" t="s">
        <v>1411</v>
      </c>
      <c r="C109" s="154">
        <v>0</v>
      </c>
      <c r="D109" s="81">
        <f t="shared" ref="D109:D113" si="36">C109/7.5345</f>
        <v>0</v>
      </c>
      <c r="E109" s="70">
        <v>2961379</v>
      </c>
      <c r="F109" s="70">
        <v>33916.82</v>
      </c>
      <c r="G109" s="101">
        <f t="shared" ref="G109" si="37">IF(E109&lt;&gt;0,F109/E109,"***")</f>
        <v>1.1453049407049892E-2</v>
      </c>
    </row>
    <row r="110" spans="1:7">
      <c r="A110" s="37">
        <v>4221</v>
      </c>
      <c r="B110" s="38" t="s">
        <v>1282</v>
      </c>
      <c r="C110" s="154">
        <v>14807.98</v>
      </c>
      <c r="D110" s="81">
        <f t="shared" si="36"/>
        <v>1965.3566925476141</v>
      </c>
      <c r="E110" s="70">
        <f>238901+49771</f>
        <v>288672</v>
      </c>
      <c r="F110" s="70">
        <v>124456.61</v>
      </c>
      <c r="G110" s="101">
        <f t="shared" si="33"/>
        <v>0.4311350252189336</v>
      </c>
    </row>
    <row r="111" spans="1:7">
      <c r="A111" s="37">
        <v>4222</v>
      </c>
      <c r="B111" s="38" t="s">
        <v>1289</v>
      </c>
      <c r="C111" s="154">
        <v>0</v>
      </c>
      <c r="D111" s="81">
        <f t="shared" si="36"/>
        <v>0</v>
      </c>
      <c r="E111" s="70">
        <v>664</v>
      </c>
      <c r="F111" s="70">
        <v>444.99</v>
      </c>
      <c r="G111" s="101">
        <f t="shared" si="33"/>
        <v>0.6701656626506024</v>
      </c>
    </row>
    <row r="112" spans="1:7" hidden="1">
      <c r="A112" s="37">
        <v>4223</v>
      </c>
      <c r="B112" s="38" t="s">
        <v>1295</v>
      </c>
      <c r="C112" s="154"/>
      <c r="D112" s="81">
        <f t="shared" si="36"/>
        <v>0</v>
      </c>
      <c r="E112" s="70"/>
      <c r="F112" s="70"/>
      <c r="G112" s="101" t="str">
        <f t="shared" ref="G112" si="38">IF(E112&lt;&gt;0,F112/E112,"***")</f>
        <v>***</v>
      </c>
    </row>
    <row r="113" spans="1:8">
      <c r="A113" s="37">
        <v>4227</v>
      </c>
      <c r="B113" s="38" t="s">
        <v>1283</v>
      </c>
      <c r="C113" s="154">
        <v>1650857.93</v>
      </c>
      <c r="D113" s="81">
        <f t="shared" si="36"/>
        <v>219106.50076315613</v>
      </c>
      <c r="E113" s="70">
        <v>688500</v>
      </c>
      <c r="F113" s="70">
        <f>393+88918.6</f>
        <v>89311.6</v>
      </c>
      <c r="G113" s="101">
        <f t="shared" si="33"/>
        <v>0.12971909949164853</v>
      </c>
    </row>
    <row r="114" spans="1:8" hidden="1">
      <c r="A114" s="39">
        <v>4231</v>
      </c>
      <c r="B114" s="40" t="s">
        <v>1412</v>
      </c>
      <c r="C114" s="154">
        <v>0</v>
      </c>
      <c r="D114" s="81"/>
      <c r="E114" s="70">
        <v>0</v>
      </c>
      <c r="F114" s="70">
        <v>0</v>
      </c>
      <c r="G114" s="101" t="str">
        <f t="shared" si="33"/>
        <v>***</v>
      </c>
    </row>
    <row r="115" spans="1:8" hidden="1">
      <c r="A115" s="39">
        <v>4241</v>
      </c>
      <c r="B115" s="40" t="s">
        <v>1321</v>
      </c>
      <c r="C115" s="154">
        <v>0</v>
      </c>
      <c r="D115" s="81"/>
      <c r="E115" s="70">
        <v>0</v>
      </c>
      <c r="F115" s="70">
        <v>0</v>
      </c>
      <c r="G115" s="101" t="str">
        <f t="shared" ref="G115:G116" si="39">IF(E115&lt;&gt;0,F115/E115,"***")</f>
        <v>***</v>
      </c>
    </row>
    <row r="116" spans="1:8" s="47" customFormat="1" hidden="1">
      <c r="A116" s="35">
        <v>5</v>
      </c>
      <c r="B116" s="34" t="s">
        <v>1426</v>
      </c>
      <c r="C116" s="183">
        <f>C117</f>
        <v>0</v>
      </c>
      <c r="D116" s="98"/>
      <c r="E116" s="98">
        <f t="shared" ref="E116" si="40">E117</f>
        <v>0</v>
      </c>
      <c r="F116" s="98">
        <f>F117</f>
        <v>0</v>
      </c>
      <c r="G116" s="73" t="str">
        <f t="shared" si="39"/>
        <v>***</v>
      </c>
    </row>
    <row r="117" spans="1:8" s="46" customFormat="1" ht="30" hidden="1">
      <c r="A117" s="48">
        <v>5181</v>
      </c>
      <c r="B117" s="116" t="s">
        <v>1416</v>
      </c>
      <c r="C117" s="154">
        <v>0</v>
      </c>
      <c r="D117" s="81"/>
      <c r="E117" s="81">
        <v>0</v>
      </c>
      <c r="F117" s="81">
        <v>0</v>
      </c>
      <c r="G117" s="101" t="str">
        <f t="shared" ref="G117" si="41">IF(E117&lt;&gt;0,F117/E117,"***")</f>
        <v>***</v>
      </c>
    </row>
    <row r="118" spans="1:8" s="105" customFormat="1" ht="15.75">
      <c r="A118" s="215" t="s">
        <v>1396</v>
      </c>
      <c r="B118" s="216"/>
      <c r="C118" s="182">
        <f>C119</f>
        <v>134427.68</v>
      </c>
      <c r="D118" s="103">
        <f>D119</f>
        <v>17841.619218262658</v>
      </c>
      <c r="E118" s="103">
        <f t="shared" ref="E118:F118" si="42">E119</f>
        <v>10000</v>
      </c>
      <c r="F118" s="103">
        <f t="shared" si="42"/>
        <v>19928.75</v>
      </c>
      <c r="G118" s="104">
        <f t="shared" si="33"/>
        <v>1.992875</v>
      </c>
    </row>
    <row r="119" spans="1:8" s="47" customFormat="1">
      <c r="A119" s="35">
        <v>3</v>
      </c>
      <c r="B119" s="34" t="s">
        <v>1297</v>
      </c>
      <c r="C119" s="183">
        <f>SUM(C120:C135)</f>
        <v>134427.68</v>
      </c>
      <c r="D119" s="98">
        <f>SUM(D120:D135)</f>
        <v>17841.619218262658</v>
      </c>
      <c r="E119" s="98">
        <f>SUM(E120:E134)</f>
        <v>10000</v>
      </c>
      <c r="F119" s="98">
        <f t="shared" ref="F119" si="43">SUM(F120:F134)</f>
        <v>19928.75</v>
      </c>
      <c r="G119" s="73">
        <f t="shared" si="33"/>
        <v>1.992875</v>
      </c>
    </row>
    <row r="120" spans="1:8" s="47" customFormat="1">
      <c r="A120" s="37">
        <v>3111</v>
      </c>
      <c r="B120" s="38" t="s">
        <v>1285</v>
      </c>
      <c r="C120" s="154">
        <v>56089.98</v>
      </c>
      <c r="D120" s="81">
        <f>C120/7.5345</f>
        <v>7444.4196695202072</v>
      </c>
      <c r="E120" s="70">
        <v>0</v>
      </c>
      <c r="F120" s="70">
        <f>3844.22+596.14+1222.66</f>
        <v>5663.0199999999995</v>
      </c>
      <c r="G120" s="101" t="str">
        <f t="shared" si="33"/>
        <v>***</v>
      </c>
      <c r="H120" s="11"/>
    </row>
    <row r="121" spans="1:8">
      <c r="A121" s="37">
        <v>3121</v>
      </c>
      <c r="B121" s="38" t="s">
        <v>1286</v>
      </c>
      <c r="C121" s="154">
        <v>4999.96</v>
      </c>
      <c r="D121" s="81">
        <f t="shared" ref="D121:D133" si="44">C121/7.5345</f>
        <v>663.60873316079369</v>
      </c>
      <c r="E121" s="70">
        <v>0</v>
      </c>
      <c r="F121" s="70">
        <v>1158.5</v>
      </c>
      <c r="G121" s="101" t="str">
        <f t="shared" si="33"/>
        <v>***</v>
      </c>
      <c r="H121" s="11"/>
    </row>
    <row r="122" spans="1:8">
      <c r="A122" s="37">
        <v>3132</v>
      </c>
      <c r="B122" s="38" t="s">
        <v>1325</v>
      </c>
      <c r="C122" s="154">
        <v>9929.0300000000007</v>
      </c>
      <c r="D122" s="81">
        <f t="shared" si="44"/>
        <v>1317.8087464330745</v>
      </c>
      <c r="E122" s="70">
        <v>0</v>
      </c>
      <c r="F122" s="70">
        <v>1008.67</v>
      </c>
      <c r="G122" s="101" t="str">
        <f t="shared" si="33"/>
        <v>***</v>
      </c>
      <c r="H122" s="11"/>
    </row>
    <row r="123" spans="1:8">
      <c r="A123" s="37">
        <v>3211</v>
      </c>
      <c r="B123" s="38" t="s">
        <v>1296</v>
      </c>
      <c r="C123" s="154">
        <v>11618.87</v>
      </c>
      <c r="D123" s="81">
        <f t="shared" si="44"/>
        <v>1542.0890570044462</v>
      </c>
      <c r="E123" s="70">
        <f>1018+3982</f>
        <v>5000</v>
      </c>
      <c r="F123" s="70">
        <f>209.35+560+1241.11+332.4+1182.82+16.6</f>
        <v>3542.28</v>
      </c>
      <c r="G123" s="101">
        <f t="shared" ref="G123:G151" si="45">IF(E123&lt;&gt;0,F123/E123,"***")</f>
        <v>0.70845600000000009</v>
      </c>
      <c r="H123" s="11"/>
    </row>
    <row r="124" spans="1:8">
      <c r="A124" s="37">
        <v>3212</v>
      </c>
      <c r="B124" s="38" t="s">
        <v>1262</v>
      </c>
      <c r="C124" s="154">
        <v>9861.98</v>
      </c>
      <c r="D124" s="81">
        <f t="shared" si="44"/>
        <v>1308.9096821288738</v>
      </c>
      <c r="E124" s="70">
        <v>0</v>
      </c>
      <c r="F124" s="70">
        <v>1695.31</v>
      </c>
      <c r="G124" s="101" t="str">
        <f t="shared" si="45"/>
        <v>***</v>
      </c>
      <c r="H124" s="11"/>
    </row>
    <row r="125" spans="1:8">
      <c r="A125" s="37">
        <v>3213</v>
      </c>
      <c r="B125" s="38" t="s">
        <v>1263</v>
      </c>
      <c r="C125" s="154">
        <v>13000</v>
      </c>
      <c r="D125" s="81">
        <f t="shared" si="44"/>
        <v>1725.3965093901386</v>
      </c>
      <c r="E125" s="70">
        <v>4000</v>
      </c>
      <c r="F125" s="70">
        <v>500</v>
      </c>
      <c r="G125" s="101">
        <f t="shared" si="45"/>
        <v>0.125</v>
      </c>
      <c r="H125" s="11"/>
    </row>
    <row r="126" spans="1:8">
      <c r="A126" s="37">
        <v>3231</v>
      </c>
      <c r="B126" s="38" t="s">
        <v>1268</v>
      </c>
      <c r="C126" s="154">
        <v>0</v>
      </c>
      <c r="D126" s="81">
        <f>C126/7.5345</f>
        <v>0</v>
      </c>
      <c r="E126" s="70">
        <v>0</v>
      </c>
      <c r="F126" s="70">
        <v>100</v>
      </c>
      <c r="G126" s="101" t="str">
        <f t="shared" si="45"/>
        <v>***</v>
      </c>
      <c r="H126" s="11"/>
    </row>
    <row r="127" spans="1:8">
      <c r="A127" s="37">
        <v>3233</v>
      </c>
      <c r="B127" s="38" t="s">
        <v>1270</v>
      </c>
      <c r="C127" s="154">
        <v>0</v>
      </c>
      <c r="D127" s="81">
        <f t="shared" ref="D127:D128" si="46">C127/7.5345</f>
        <v>0</v>
      </c>
      <c r="E127" s="70">
        <v>0</v>
      </c>
      <c r="F127" s="70">
        <v>1235.83</v>
      </c>
      <c r="G127" s="101" t="str">
        <f t="shared" si="45"/>
        <v>***</v>
      </c>
      <c r="H127" s="11"/>
    </row>
    <row r="128" spans="1:8" hidden="1">
      <c r="A128" s="37">
        <v>3235</v>
      </c>
      <c r="B128" s="38" t="s">
        <v>1272</v>
      </c>
      <c r="C128" s="154">
        <v>0</v>
      </c>
      <c r="D128" s="81">
        <f t="shared" si="46"/>
        <v>0</v>
      </c>
      <c r="E128" s="70">
        <v>0</v>
      </c>
      <c r="F128" s="70">
        <v>0</v>
      </c>
      <c r="G128" s="101" t="str">
        <f t="shared" si="45"/>
        <v>***</v>
      </c>
      <c r="H128" s="11"/>
    </row>
    <row r="129" spans="1:8">
      <c r="A129" s="37">
        <v>3237</v>
      </c>
      <c r="B129" s="38" t="s">
        <v>1274</v>
      </c>
      <c r="C129" s="154">
        <v>28927.86</v>
      </c>
      <c r="D129" s="81">
        <f t="shared" si="44"/>
        <v>3839.3868206251241</v>
      </c>
      <c r="E129" s="70">
        <v>500</v>
      </c>
      <c r="F129" s="70">
        <v>1028.5</v>
      </c>
      <c r="G129" s="101">
        <f t="shared" si="45"/>
        <v>2.0569999999999999</v>
      </c>
      <c r="H129" s="11"/>
    </row>
    <row r="130" spans="1:8" hidden="1">
      <c r="A130" s="37">
        <v>3238</v>
      </c>
      <c r="B130" s="38" t="s">
        <v>1275</v>
      </c>
      <c r="C130" s="154">
        <v>0</v>
      </c>
      <c r="D130" s="81">
        <f t="shared" si="44"/>
        <v>0</v>
      </c>
      <c r="E130" s="70">
        <v>0</v>
      </c>
      <c r="F130" s="70">
        <v>0</v>
      </c>
      <c r="G130" s="101" t="str">
        <f t="shared" ref="G130:G133" si="47">IF(E130&lt;&gt;0,F130/E130,"***")</f>
        <v>***</v>
      </c>
      <c r="H130" s="11"/>
    </row>
    <row r="131" spans="1:8" hidden="1">
      <c r="A131" s="37">
        <v>3239</v>
      </c>
      <c r="B131" s="38" t="s">
        <v>1276</v>
      </c>
      <c r="C131" s="154">
        <v>0</v>
      </c>
      <c r="D131" s="81">
        <f t="shared" si="44"/>
        <v>0</v>
      </c>
      <c r="E131" s="70">
        <v>0</v>
      </c>
      <c r="F131" s="70">
        <v>0</v>
      </c>
      <c r="G131" s="101" t="str">
        <f t="shared" ref="G131" si="48">IF(E131&lt;&gt;0,F131/E131,"***")</f>
        <v>***</v>
      </c>
      <c r="H131" s="11"/>
    </row>
    <row r="132" spans="1:8" hidden="1">
      <c r="A132" s="37">
        <v>3241</v>
      </c>
      <c r="B132" s="38" t="s">
        <v>1322</v>
      </c>
      <c r="C132" s="154">
        <v>0</v>
      </c>
      <c r="D132" s="81">
        <f t="shared" si="44"/>
        <v>0</v>
      </c>
      <c r="E132" s="70">
        <v>0</v>
      </c>
      <c r="F132" s="70">
        <v>0</v>
      </c>
      <c r="G132" s="101" t="str">
        <f t="shared" si="47"/>
        <v>***</v>
      </c>
      <c r="H132" s="11"/>
    </row>
    <row r="133" spans="1:8">
      <c r="A133" s="37">
        <v>3293</v>
      </c>
      <c r="B133" s="38" t="s">
        <v>1287</v>
      </c>
      <c r="C133" s="154">
        <v>0</v>
      </c>
      <c r="D133" s="81">
        <f t="shared" si="44"/>
        <v>0</v>
      </c>
      <c r="E133" s="70">
        <v>500</v>
      </c>
      <c r="F133" s="70">
        <v>3996.64</v>
      </c>
      <c r="G133" s="101">
        <f t="shared" si="47"/>
        <v>7.9932799999999995</v>
      </c>
      <c r="H133" s="11"/>
    </row>
    <row r="134" spans="1:8" hidden="1">
      <c r="A134" s="37">
        <v>3295</v>
      </c>
      <c r="B134" s="38" t="s">
        <v>1279</v>
      </c>
      <c r="C134" s="154">
        <v>0</v>
      </c>
      <c r="D134" s="81"/>
      <c r="E134" s="70">
        <v>0</v>
      </c>
      <c r="F134" s="70">
        <v>0</v>
      </c>
      <c r="G134" s="101" t="str">
        <f t="shared" si="45"/>
        <v>***</v>
      </c>
      <c r="H134" s="11"/>
    </row>
    <row r="135" spans="1:8" hidden="1">
      <c r="A135" s="37">
        <v>3611</v>
      </c>
      <c r="B135" s="38" t="s">
        <v>1407</v>
      </c>
      <c r="C135" s="154">
        <v>0</v>
      </c>
      <c r="D135" s="81"/>
      <c r="E135" s="70">
        <v>0</v>
      </c>
      <c r="F135" s="70">
        <v>0</v>
      </c>
      <c r="G135" s="101" t="str">
        <f t="shared" ref="G135" si="49">IF(E135&lt;&gt;0,F135/E135,"***")</f>
        <v>***</v>
      </c>
      <c r="H135" s="11"/>
    </row>
    <row r="136" spans="1:8" s="105" customFormat="1" ht="15.75">
      <c r="A136" s="215" t="s">
        <v>1397</v>
      </c>
      <c r="B136" s="216"/>
      <c r="C136" s="182">
        <f>C137+C155</f>
        <v>1787910.8</v>
      </c>
      <c r="D136" s="103">
        <f>D137+D155</f>
        <v>237296.5425708408</v>
      </c>
      <c r="E136" s="103">
        <f t="shared" ref="E136:F136" si="50">E137+E155</f>
        <v>387025</v>
      </c>
      <c r="F136" s="103">
        <f t="shared" si="50"/>
        <v>139121.79</v>
      </c>
      <c r="G136" s="104">
        <f t="shared" si="45"/>
        <v>0.35946460822944254</v>
      </c>
    </row>
    <row r="137" spans="1:8" s="47" customFormat="1">
      <c r="A137" s="35">
        <v>3</v>
      </c>
      <c r="B137" s="34" t="s">
        <v>1297</v>
      </c>
      <c r="C137" s="183">
        <f>SUM(C138:C154)</f>
        <v>1401784.6</v>
      </c>
      <c r="D137" s="98">
        <f t="shared" ref="D137:F137" si="51">SUM(D138:D154)</f>
        <v>186048.78890437321</v>
      </c>
      <c r="E137" s="98">
        <f t="shared" si="51"/>
        <v>366453</v>
      </c>
      <c r="F137" s="98">
        <f t="shared" si="51"/>
        <v>117285.74</v>
      </c>
      <c r="G137" s="73">
        <f t="shared" si="45"/>
        <v>0.32005670577127221</v>
      </c>
    </row>
    <row r="138" spans="1:8" s="47" customFormat="1">
      <c r="A138" s="48">
        <v>3111</v>
      </c>
      <c r="B138" s="38" t="s">
        <v>1285</v>
      </c>
      <c r="C138" s="154">
        <v>38153.620000000003</v>
      </c>
      <c r="D138" s="81">
        <f>C138/7.5345</f>
        <v>5063.8555975844447</v>
      </c>
      <c r="E138" s="81">
        <v>23189</v>
      </c>
      <c r="F138" s="81">
        <f>6103.54+733.7+1713.44</f>
        <v>8550.68</v>
      </c>
      <c r="G138" s="101">
        <f t="shared" ref="G138" si="52">IF(E138&lt;&gt;0,F138/E138,"***")</f>
        <v>0.36873862607270691</v>
      </c>
    </row>
    <row r="139" spans="1:8" s="47" customFormat="1">
      <c r="A139" s="48">
        <v>3121</v>
      </c>
      <c r="B139" s="38" t="s">
        <v>1286</v>
      </c>
      <c r="C139" s="154">
        <v>0</v>
      </c>
      <c r="D139" s="81">
        <f t="shared" ref="D139:D154" si="53">C139/7.5345</f>
        <v>0</v>
      </c>
      <c r="E139" s="81">
        <v>0</v>
      </c>
      <c r="F139" s="81">
        <v>488.04</v>
      </c>
      <c r="G139" s="101" t="str">
        <f t="shared" ref="G139" si="54">IF(E139&lt;&gt;0,F139/E139,"***")</f>
        <v>***</v>
      </c>
    </row>
    <row r="140" spans="1:8" s="47" customFormat="1">
      <c r="A140" s="48">
        <v>3132</v>
      </c>
      <c r="B140" s="38" t="s">
        <v>1325</v>
      </c>
      <c r="C140" s="154">
        <v>6295.35</v>
      </c>
      <c r="D140" s="81">
        <f t="shared" si="53"/>
        <v>835.53653195301615</v>
      </c>
      <c r="E140" s="81">
        <v>3738</v>
      </c>
      <c r="F140" s="81">
        <v>4.3</v>
      </c>
      <c r="G140" s="101">
        <f t="shared" ref="G140" si="55">IF(E140&lt;&gt;0,F140/E140,"***")</f>
        <v>1.1503477795612627E-3</v>
      </c>
    </row>
    <row r="141" spans="1:8">
      <c r="A141" s="37">
        <v>3211</v>
      </c>
      <c r="B141" s="38" t="s">
        <v>1261</v>
      </c>
      <c r="C141" s="154">
        <v>570691.75</v>
      </c>
      <c r="D141" s="81">
        <f t="shared" si="53"/>
        <v>75743.811799057657</v>
      </c>
      <c r="E141" s="70">
        <f>664+1327+4645+50769+2058</f>
        <v>59463</v>
      </c>
      <c r="F141" s="70">
        <v>53795.41</v>
      </c>
      <c r="G141" s="101">
        <f t="shared" si="45"/>
        <v>0.90468711635807142</v>
      </c>
    </row>
    <row r="142" spans="1:8">
      <c r="A142" s="37">
        <v>3212</v>
      </c>
      <c r="B142" s="38" t="s">
        <v>1262</v>
      </c>
      <c r="C142" s="154">
        <v>0</v>
      </c>
      <c r="D142" s="81">
        <f t="shared" si="53"/>
        <v>0</v>
      </c>
      <c r="E142" s="70">
        <v>0</v>
      </c>
      <c r="F142" s="70">
        <v>79.17</v>
      </c>
      <c r="G142" s="101" t="str">
        <f t="shared" ref="G142" si="56">IF(E142&lt;&gt;0,F142/E142,"***")</f>
        <v>***</v>
      </c>
    </row>
    <row r="143" spans="1:8">
      <c r="A143" s="37">
        <v>3213</v>
      </c>
      <c r="B143" s="38" t="s">
        <v>1263</v>
      </c>
      <c r="C143" s="154">
        <v>0</v>
      </c>
      <c r="D143" s="81">
        <f t="shared" si="53"/>
        <v>0</v>
      </c>
      <c r="E143" s="70">
        <v>1062</v>
      </c>
      <c r="F143" s="70">
        <v>0</v>
      </c>
      <c r="G143" s="101">
        <f t="shared" ref="G143" si="57">IF(E143&lt;&gt;0,F143/E143,"***")</f>
        <v>0</v>
      </c>
    </row>
    <row r="144" spans="1:8" s="76" customFormat="1">
      <c r="A144" s="131">
        <v>3221</v>
      </c>
      <c r="B144" s="132" t="s">
        <v>1291</v>
      </c>
      <c r="C144" s="154">
        <v>6710.53</v>
      </c>
      <c r="D144" s="81">
        <f t="shared" si="53"/>
        <v>890.64038755060051</v>
      </c>
      <c r="E144" s="70">
        <v>7964</v>
      </c>
      <c r="F144" s="70">
        <v>4709.88</v>
      </c>
      <c r="G144" s="101">
        <f t="shared" ref="G144:G145" si="58">IF(E144&lt;&gt;0,F144/E144,"***")</f>
        <v>0.59139628327473637</v>
      </c>
    </row>
    <row r="145" spans="1:7" s="76" customFormat="1" hidden="1">
      <c r="A145" s="131">
        <v>3222</v>
      </c>
      <c r="B145" s="38" t="s">
        <v>1265</v>
      </c>
      <c r="C145" s="154">
        <v>0</v>
      </c>
      <c r="D145" s="81">
        <f t="shared" si="53"/>
        <v>0</v>
      </c>
      <c r="E145" s="70">
        <v>0</v>
      </c>
      <c r="F145" s="70">
        <v>0</v>
      </c>
      <c r="G145" s="101" t="str">
        <f t="shared" si="58"/>
        <v>***</v>
      </c>
    </row>
    <row r="146" spans="1:7" s="76" customFormat="1">
      <c r="A146" s="131">
        <v>3225</v>
      </c>
      <c r="B146" s="50" t="s">
        <v>1406</v>
      </c>
      <c r="C146" s="154">
        <v>4962.5</v>
      </c>
      <c r="D146" s="81">
        <f t="shared" si="53"/>
        <v>658.63693675758179</v>
      </c>
      <c r="E146" s="70">
        <v>0</v>
      </c>
      <c r="F146" s="70">
        <v>0</v>
      </c>
      <c r="G146" s="101" t="str">
        <f t="shared" ref="G146" si="59">IF(E146&lt;&gt;0,F146/E146,"***")</f>
        <v>***</v>
      </c>
    </row>
    <row r="147" spans="1:7" hidden="1">
      <c r="A147" s="37">
        <v>3233</v>
      </c>
      <c r="B147" s="38" t="s">
        <v>1270</v>
      </c>
      <c r="C147" s="154">
        <v>0</v>
      </c>
      <c r="D147" s="81">
        <f t="shared" si="53"/>
        <v>0</v>
      </c>
      <c r="E147" s="70">
        <v>0</v>
      </c>
      <c r="F147" s="70">
        <v>0</v>
      </c>
      <c r="G147" s="101" t="str">
        <f t="shared" ref="G147" si="60">IF(E147&lt;&gt;0,F147/E147,"***")</f>
        <v>***</v>
      </c>
    </row>
    <row r="148" spans="1:7">
      <c r="A148" s="37">
        <v>3235</v>
      </c>
      <c r="B148" s="38" t="s">
        <v>1272</v>
      </c>
      <c r="C148" s="154">
        <v>0</v>
      </c>
      <c r="D148" s="81">
        <f t="shared" si="53"/>
        <v>0</v>
      </c>
      <c r="E148" s="70">
        <v>0</v>
      </c>
      <c r="F148" s="70">
        <v>6636.14</v>
      </c>
      <c r="G148" s="101" t="str">
        <f t="shared" ref="G148" si="61">IF(E148&lt;&gt;0,F148/E148,"***")</f>
        <v>***</v>
      </c>
    </row>
    <row r="149" spans="1:7">
      <c r="A149" s="37">
        <v>3237</v>
      </c>
      <c r="B149" s="38" t="s">
        <v>1274</v>
      </c>
      <c r="C149" s="185">
        <v>12154.08</v>
      </c>
      <c r="D149" s="81">
        <f t="shared" si="53"/>
        <v>1613.1236312960382</v>
      </c>
      <c r="E149" s="70">
        <f>1327+63789</f>
        <v>65116</v>
      </c>
      <c r="F149" s="70">
        <f>1529+1592.67</f>
        <v>3121.67</v>
      </c>
      <c r="G149" s="101">
        <f t="shared" si="45"/>
        <v>4.7940137600589718E-2</v>
      </c>
    </row>
    <row r="150" spans="1:7">
      <c r="A150" s="37">
        <v>3239</v>
      </c>
      <c r="B150" s="38" t="s">
        <v>1276</v>
      </c>
      <c r="C150" s="154">
        <v>53045.13</v>
      </c>
      <c r="D150" s="81">
        <f t="shared" si="53"/>
        <v>7040.2986263189323</v>
      </c>
      <c r="E150" s="70">
        <v>0</v>
      </c>
      <c r="F150" s="70">
        <v>15.93</v>
      </c>
      <c r="G150" s="101" t="str">
        <f t="shared" si="45"/>
        <v>***</v>
      </c>
    </row>
    <row r="151" spans="1:7">
      <c r="A151" s="37">
        <v>3241</v>
      </c>
      <c r="B151" s="38" t="s">
        <v>1322</v>
      </c>
      <c r="C151" s="154">
        <v>701414.91</v>
      </c>
      <c r="D151" s="81">
        <f t="shared" si="53"/>
        <v>93093.756719092169</v>
      </c>
      <c r="E151" s="70">
        <f>204594-1328</f>
        <v>203266</v>
      </c>
      <c r="F151" s="70">
        <v>36880.17</v>
      </c>
      <c r="G151" s="101">
        <f t="shared" si="45"/>
        <v>0.1814379679828402</v>
      </c>
    </row>
    <row r="152" spans="1:7">
      <c r="A152" s="37">
        <v>3292</v>
      </c>
      <c r="B152" s="38" t="s">
        <v>1277</v>
      </c>
      <c r="C152" s="154">
        <v>8127.73</v>
      </c>
      <c r="D152" s="81">
        <f t="shared" si="53"/>
        <v>1078.7351516358085</v>
      </c>
      <c r="E152" s="70">
        <v>0</v>
      </c>
      <c r="F152" s="70">
        <v>349.89</v>
      </c>
      <c r="G152" s="101" t="str">
        <f t="shared" ref="G152" si="62">IF(E152&lt;&gt;0,F152/E152,"***")</f>
        <v>***</v>
      </c>
    </row>
    <row r="153" spans="1:7">
      <c r="A153" s="37">
        <v>3293</v>
      </c>
      <c r="B153" s="38" t="s">
        <v>1287</v>
      </c>
      <c r="C153" s="154">
        <v>229</v>
      </c>
      <c r="D153" s="81">
        <f t="shared" si="53"/>
        <v>30.393523126949365</v>
      </c>
      <c r="E153" s="70">
        <v>0</v>
      </c>
      <c r="F153" s="70">
        <v>0</v>
      </c>
      <c r="G153" s="101" t="str">
        <f t="shared" ref="G153:G159" si="63">IF(E153&lt;&gt;0,F153/E153,"***")</f>
        <v>***</v>
      </c>
    </row>
    <row r="154" spans="1:7">
      <c r="A154" s="37">
        <v>3721</v>
      </c>
      <c r="B154" s="49" t="s">
        <v>1374</v>
      </c>
      <c r="C154" s="154">
        <v>0</v>
      </c>
      <c r="D154" s="81">
        <f t="shared" si="53"/>
        <v>0</v>
      </c>
      <c r="E154" s="70">
        <f>1327+1328</f>
        <v>2655</v>
      </c>
      <c r="F154" s="70">
        <v>2654.46</v>
      </c>
      <c r="G154" s="101">
        <f t="shared" si="63"/>
        <v>0.99979661016949151</v>
      </c>
    </row>
    <row r="155" spans="1:7" s="47" customFormat="1">
      <c r="A155" s="35">
        <v>4</v>
      </c>
      <c r="B155" s="34" t="s">
        <v>1424</v>
      </c>
      <c r="C155" s="183">
        <f>C156+C157+C158+C159</f>
        <v>386126.19999999995</v>
      </c>
      <c r="D155" s="98">
        <f>D156+D157+D158+D159</f>
        <v>51247.753666467579</v>
      </c>
      <c r="E155" s="98">
        <f t="shared" ref="E155:F155" si="64">E156+E157+E158+E159</f>
        <v>20572</v>
      </c>
      <c r="F155" s="98">
        <f t="shared" si="64"/>
        <v>21836.05</v>
      </c>
      <c r="G155" s="73">
        <f t="shared" si="63"/>
        <v>1.0614451681897725</v>
      </c>
    </row>
    <row r="156" spans="1:7">
      <c r="A156" s="37">
        <v>4123</v>
      </c>
      <c r="B156" s="38" t="s">
        <v>1294</v>
      </c>
      <c r="C156" s="154">
        <v>0</v>
      </c>
      <c r="D156" s="81">
        <f>C156/7.5345</f>
        <v>0</v>
      </c>
      <c r="E156" s="70">
        <v>0</v>
      </c>
      <c r="F156" s="70">
        <v>917.33</v>
      </c>
      <c r="G156" s="101" t="str">
        <f t="shared" si="63"/>
        <v>***</v>
      </c>
    </row>
    <row r="157" spans="1:7">
      <c r="A157" s="37">
        <v>4124</v>
      </c>
      <c r="B157" s="38" t="s">
        <v>1440</v>
      </c>
      <c r="C157" s="154">
        <v>3730.5</v>
      </c>
      <c r="D157" s="81">
        <f>C157/7.5345</f>
        <v>495.12243679076249</v>
      </c>
      <c r="E157" s="70">
        <v>0</v>
      </c>
      <c r="F157" s="70">
        <v>2544.86</v>
      </c>
      <c r="G157" s="101" t="str">
        <f t="shared" si="63"/>
        <v>***</v>
      </c>
    </row>
    <row r="158" spans="1:7">
      <c r="A158" s="37">
        <v>4227</v>
      </c>
      <c r="B158" s="38" t="s">
        <v>1283</v>
      </c>
      <c r="C158" s="154">
        <v>379615.79</v>
      </c>
      <c r="D158" s="81">
        <f t="shared" ref="D158:D159" si="65">C158/7.5345</f>
        <v>50383.673767336913</v>
      </c>
      <c r="E158" s="70">
        <v>20572</v>
      </c>
      <c r="F158" s="70">
        <v>18373.86</v>
      </c>
      <c r="G158" s="101">
        <f t="shared" si="63"/>
        <v>0.8931489403072137</v>
      </c>
    </row>
    <row r="159" spans="1:7">
      <c r="A159" s="139">
        <v>4241</v>
      </c>
      <c r="B159" s="140" t="s">
        <v>1290</v>
      </c>
      <c r="C159" s="154">
        <v>2779.91</v>
      </c>
      <c r="D159" s="81">
        <f t="shared" si="65"/>
        <v>368.95746233990309</v>
      </c>
      <c r="E159" s="70">
        <v>0</v>
      </c>
      <c r="F159" s="70">
        <v>0</v>
      </c>
      <c r="G159" s="101" t="str">
        <f t="shared" si="63"/>
        <v>***</v>
      </c>
    </row>
    <row r="160" spans="1:7" s="107" customFormat="1" ht="15" hidden="1" customHeight="1">
      <c r="A160" s="215" t="s">
        <v>1398</v>
      </c>
      <c r="B160" s="216"/>
      <c r="C160" s="186">
        <f>C161+C175</f>
        <v>0</v>
      </c>
      <c r="D160" s="106">
        <f>D161+D175</f>
        <v>0</v>
      </c>
      <c r="E160" s="106">
        <f t="shared" ref="E160:F160" si="66">E161+E175</f>
        <v>0</v>
      </c>
      <c r="F160" s="106">
        <f t="shared" si="66"/>
        <v>0</v>
      </c>
      <c r="G160" s="104" t="str">
        <f t="shared" ref="G160:G181" si="67">IF(E160&lt;&gt;0,F160/E160,"***")</f>
        <v>***</v>
      </c>
    </row>
    <row r="161" spans="1:7" s="111" customFormat="1" ht="15" hidden="1" customHeight="1">
      <c r="A161" s="52">
        <v>3</v>
      </c>
      <c r="B161" s="34" t="s">
        <v>1297</v>
      </c>
      <c r="C161" s="183">
        <f>SUM(C162:C174)</f>
        <v>0</v>
      </c>
      <c r="D161" s="98">
        <f>SUM(D162:D174)</f>
        <v>0</v>
      </c>
      <c r="E161" s="98">
        <f t="shared" ref="E161:F161" si="68">SUM(E162:E174)</f>
        <v>0</v>
      </c>
      <c r="F161" s="98">
        <f t="shared" si="68"/>
        <v>0</v>
      </c>
      <c r="G161" s="73" t="str">
        <f t="shared" si="67"/>
        <v>***</v>
      </c>
    </row>
    <row r="162" spans="1:7" s="17" customFormat="1" ht="15" hidden="1" customHeight="1">
      <c r="A162" s="43">
        <v>3111</v>
      </c>
      <c r="B162" s="42" t="s">
        <v>1359</v>
      </c>
      <c r="C162" s="154">
        <v>0</v>
      </c>
      <c r="D162" s="81"/>
      <c r="E162" s="81">
        <v>0</v>
      </c>
      <c r="F162" s="81">
        <v>0</v>
      </c>
      <c r="G162" s="101" t="str">
        <f t="shared" si="67"/>
        <v>***</v>
      </c>
    </row>
    <row r="163" spans="1:7" s="17" customFormat="1" ht="15" hidden="1" customHeight="1">
      <c r="A163" s="43">
        <v>3121</v>
      </c>
      <c r="B163" s="42" t="s">
        <v>1286</v>
      </c>
      <c r="C163" s="154">
        <v>0</v>
      </c>
      <c r="D163" s="81"/>
      <c r="E163" s="81">
        <v>0</v>
      </c>
      <c r="F163" s="81">
        <v>0</v>
      </c>
      <c r="G163" s="101" t="str">
        <f t="shared" ref="G163" si="69">IF(E163&lt;&gt;0,F163/E163,"***")</f>
        <v>***</v>
      </c>
    </row>
    <row r="164" spans="1:7" s="17" customFormat="1" ht="15" hidden="1" customHeight="1">
      <c r="A164" s="43">
        <v>3132</v>
      </c>
      <c r="B164" s="42" t="s">
        <v>1325</v>
      </c>
      <c r="C164" s="154">
        <v>0</v>
      </c>
      <c r="D164" s="81"/>
      <c r="E164" s="81">
        <v>0</v>
      </c>
      <c r="F164" s="81">
        <v>0</v>
      </c>
      <c r="G164" s="101" t="str">
        <f t="shared" si="67"/>
        <v>***</v>
      </c>
    </row>
    <row r="165" spans="1:7" s="17" customFormat="1" ht="15" hidden="1" customHeight="1">
      <c r="A165" s="43">
        <v>3211</v>
      </c>
      <c r="B165" s="42" t="s">
        <v>1296</v>
      </c>
      <c r="C165" s="154">
        <v>0</v>
      </c>
      <c r="D165" s="81"/>
      <c r="E165" s="81">
        <v>0</v>
      </c>
      <c r="F165" s="81">
        <v>0</v>
      </c>
      <c r="G165" s="101" t="str">
        <f t="shared" si="67"/>
        <v>***</v>
      </c>
    </row>
    <row r="166" spans="1:7" s="17" customFormat="1" ht="15" hidden="1" customHeight="1">
      <c r="A166" s="43">
        <v>3212</v>
      </c>
      <c r="B166" s="42" t="s">
        <v>1262</v>
      </c>
      <c r="C166" s="154">
        <v>0</v>
      </c>
      <c r="D166" s="81"/>
      <c r="E166" s="81">
        <v>0</v>
      </c>
      <c r="F166" s="81">
        <v>0</v>
      </c>
      <c r="G166" s="101" t="str">
        <f t="shared" ref="G166" si="70">IF(E166&lt;&gt;0,F166/E166,"***")</f>
        <v>***</v>
      </c>
    </row>
    <row r="167" spans="1:7" s="17" customFormat="1" ht="15" hidden="1" customHeight="1">
      <c r="A167" s="43">
        <v>3213</v>
      </c>
      <c r="B167" s="42" t="s">
        <v>1263</v>
      </c>
      <c r="C167" s="154">
        <v>0</v>
      </c>
      <c r="D167" s="81">
        <f>C167/7.5345</f>
        <v>0</v>
      </c>
      <c r="E167" s="81">
        <v>0</v>
      </c>
      <c r="F167" s="81">
        <v>0</v>
      </c>
      <c r="G167" s="101" t="str">
        <f t="shared" si="67"/>
        <v>***</v>
      </c>
    </row>
    <row r="168" spans="1:7" s="17" customFormat="1" ht="15" hidden="1" customHeight="1">
      <c r="A168" s="43">
        <v>3233</v>
      </c>
      <c r="B168" s="42" t="s">
        <v>1270</v>
      </c>
      <c r="C168" s="154">
        <v>0</v>
      </c>
      <c r="D168" s="81">
        <f t="shared" ref="D168:D174" si="71">C168/7.5345</f>
        <v>0</v>
      </c>
      <c r="E168" s="81">
        <v>0</v>
      </c>
      <c r="F168" s="81">
        <v>0</v>
      </c>
      <c r="G168" s="101" t="str">
        <f t="shared" ref="G168" si="72">IF(E168&lt;&gt;0,F168/E168,"***")</f>
        <v>***</v>
      </c>
    </row>
    <row r="169" spans="1:7" s="17" customFormat="1" ht="15" hidden="1" customHeight="1">
      <c r="A169" s="43">
        <v>3237</v>
      </c>
      <c r="B169" s="42" t="s">
        <v>1274</v>
      </c>
      <c r="C169" s="154">
        <v>0</v>
      </c>
      <c r="D169" s="81">
        <f t="shared" si="71"/>
        <v>0</v>
      </c>
      <c r="E169" s="81">
        <v>0</v>
      </c>
      <c r="F169" s="81">
        <v>0</v>
      </c>
      <c r="G169" s="101" t="str">
        <f t="shared" si="67"/>
        <v>***</v>
      </c>
    </row>
    <row r="170" spans="1:7" s="17" customFormat="1" ht="15" hidden="1" customHeight="1">
      <c r="A170" s="43">
        <v>3238</v>
      </c>
      <c r="B170" s="42" t="s">
        <v>1275</v>
      </c>
      <c r="C170" s="154">
        <v>0</v>
      </c>
      <c r="D170" s="81">
        <f t="shared" si="71"/>
        <v>0</v>
      </c>
      <c r="E170" s="81">
        <v>0</v>
      </c>
      <c r="F170" s="81">
        <v>0</v>
      </c>
      <c r="G170" s="101" t="str">
        <f t="shared" ref="G170" si="73">IF(E170&lt;&gt;0,F170/E170,"***")</f>
        <v>***</v>
      </c>
    </row>
    <row r="171" spans="1:7" s="17" customFormat="1" ht="15" hidden="1" customHeight="1">
      <c r="A171" s="43">
        <v>3239</v>
      </c>
      <c r="B171" s="42" t="s">
        <v>1276</v>
      </c>
      <c r="C171" s="154">
        <v>0</v>
      </c>
      <c r="D171" s="81">
        <f t="shared" si="71"/>
        <v>0</v>
      </c>
      <c r="E171" s="81">
        <v>0</v>
      </c>
      <c r="F171" s="81">
        <v>0</v>
      </c>
      <c r="G171" s="101" t="str">
        <f t="shared" ref="G171" si="74">IF(E171&lt;&gt;0,F171/E171,"***")</f>
        <v>***</v>
      </c>
    </row>
    <row r="172" spans="1:7" s="17" customFormat="1" ht="15" hidden="1" customHeight="1">
      <c r="A172" s="43">
        <v>3241</v>
      </c>
      <c r="B172" s="42" t="s">
        <v>1322</v>
      </c>
      <c r="C172" s="154"/>
      <c r="D172" s="81">
        <f t="shared" si="71"/>
        <v>0</v>
      </c>
      <c r="E172" s="81">
        <v>0</v>
      </c>
      <c r="F172" s="81">
        <v>0</v>
      </c>
      <c r="G172" s="101" t="str">
        <f t="shared" ref="G172" si="75">IF(E172&lt;&gt;0,F172/E172,"***")</f>
        <v>***</v>
      </c>
    </row>
    <row r="173" spans="1:7" s="17" customFormat="1" ht="15" hidden="1" customHeight="1">
      <c r="A173" s="43">
        <v>3293</v>
      </c>
      <c r="B173" s="42" t="s">
        <v>1287</v>
      </c>
      <c r="C173" s="154">
        <v>0</v>
      </c>
      <c r="D173" s="81">
        <f t="shared" si="71"/>
        <v>0</v>
      </c>
      <c r="E173" s="81">
        <v>0</v>
      </c>
      <c r="F173" s="81">
        <v>0</v>
      </c>
      <c r="G173" s="101" t="str">
        <f t="shared" si="67"/>
        <v>***</v>
      </c>
    </row>
    <row r="174" spans="1:7" s="17" customFormat="1" ht="15" hidden="1" customHeight="1">
      <c r="A174" s="43">
        <v>3691</v>
      </c>
      <c r="B174" s="36" t="s">
        <v>1306</v>
      </c>
      <c r="C174" s="154">
        <v>0</v>
      </c>
      <c r="D174" s="81">
        <f t="shared" si="71"/>
        <v>0</v>
      </c>
      <c r="E174" s="81">
        <v>0</v>
      </c>
      <c r="F174" s="81">
        <v>0</v>
      </c>
      <c r="G174" s="101" t="str">
        <f t="shared" ref="G174" si="76">IF(E174&lt;&gt;0,F174/E174,"***")</f>
        <v>***</v>
      </c>
    </row>
    <row r="175" spans="1:7" s="111" customFormat="1" hidden="1">
      <c r="A175" s="52">
        <v>4</v>
      </c>
      <c r="B175" s="34" t="s">
        <v>1424</v>
      </c>
      <c r="C175" s="183">
        <f>C176+C177</f>
        <v>0</v>
      </c>
      <c r="D175" s="98">
        <f>D176+D177</f>
        <v>0</v>
      </c>
      <c r="E175" s="98">
        <f t="shared" ref="E175:F175" si="77">E176+E177</f>
        <v>0</v>
      </c>
      <c r="F175" s="98">
        <f t="shared" si="77"/>
        <v>0</v>
      </c>
      <c r="G175" s="73" t="str">
        <f t="shared" si="67"/>
        <v>***</v>
      </c>
    </row>
    <row r="176" spans="1:7" s="17" customFormat="1" hidden="1">
      <c r="A176" s="43">
        <v>4221</v>
      </c>
      <c r="B176" s="49" t="s">
        <v>1282</v>
      </c>
      <c r="C176" s="154">
        <v>0</v>
      </c>
      <c r="D176" s="81"/>
      <c r="E176" s="81">
        <v>0</v>
      </c>
      <c r="F176" s="81">
        <v>0</v>
      </c>
      <c r="G176" s="101" t="str">
        <f t="shared" ref="G176:G177" si="78">IF(E176&lt;&gt;0,F176/E176,"***")</f>
        <v>***</v>
      </c>
    </row>
    <row r="177" spans="1:7" s="17" customFormat="1" hidden="1">
      <c r="A177" s="43">
        <v>4227</v>
      </c>
      <c r="B177" s="41" t="s">
        <v>1283</v>
      </c>
      <c r="C177" s="154">
        <v>0</v>
      </c>
      <c r="D177" s="81"/>
      <c r="E177" s="81">
        <v>0</v>
      </c>
      <c r="F177" s="81">
        <v>0</v>
      </c>
      <c r="G177" s="101" t="str">
        <f t="shared" si="78"/>
        <v>***</v>
      </c>
    </row>
    <row r="178" spans="1:7" s="105" customFormat="1" ht="15.75">
      <c r="A178" s="215" t="s">
        <v>1399</v>
      </c>
      <c r="B178" s="216"/>
      <c r="C178" s="182">
        <f>C179+C197</f>
        <v>100210.7</v>
      </c>
      <c r="D178" s="103">
        <f>D179+D197</f>
        <v>13300.245537195566</v>
      </c>
      <c r="E178" s="103">
        <f t="shared" ref="E178:F178" si="79">E179+E197</f>
        <v>625429</v>
      </c>
      <c r="F178" s="103">
        <f t="shared" si="79"/>
        <v>13401.21</v>
      </c>
      <c r="G178" s="104">
        <f t="shared" si="67"/>
        <v>2.1427228350460244E-2</v>
      </c>
    </row>
    <row r="179" spans="1:7" s="47" customFormat="1">
      <c r="A179" s="35">
        <v>3</v>
      </c>
      <c r="B179" s="34" t="s">
        <v>1297</v>
      </c>
      <c r="C179" s="183">
        <f>SUM(C180:C196)</f>
        <v>100210.7</v>
      </c>
      <c r="D179" s="98">
        <f>SUM(D180:D196)</f>
        <v>13300.245537195566</v>
      </c>
      <c r="E179" s="98">
        <f>SUM(E180:E196)</f>
        <v>624102</v>
      </c>
      <c r="F179" s="98">
        <f t="shared" ref="F179" si="80">SUM(F180:F196)</f>
        <v>13401.21</v>
      </c>
      <c r="G179" s="73">
        <f t="shared" si="67"/>
        <v>2.1472788101944872E-2</v>
      </c>
    </row>
    <row r="180" spans="1:7">
      <c r="A180" s="48">
        <v>3111</v>
      </c>
      <c r="B180" s="42" t="s">
        <v>1359</v>
      </c>
      <c r="C180" s="154">
        <v>0</v>
      </c>
      <c r="D180" s="81">
        <f>C180/7.5345</f>
        <v>0</v>
      </c>
      <c r="E180" s="81">
        <v>225919</v>
      </c>
      <c r="F180" s="81">
        <v>0</v>
      </c>
      <c r="G180" s="101">
        <f t="shared" si="67"/>
        <v>0</v>
      </c>
    </row>
    <row r="181" spans="1:7">
      <c r="A181" s="48">
        <v>3132</v>
      </c>
      <c r="B181" s="42" t="s">
        <v>1325</v>
      </c>
      <c r="C181" s="154">
        <v>0</v>
      </c>
      <c r="D181" s="81">
        <f t="shared" ref="D181:D196" si="81">C181/7.5345</f>
        <v>0</v>
      </c>
      <c r="E181" s="81">
        <v>37177</v>
      </c>
      <c r="F181" s="81">
        <v>0</v>
      </c>
      <c r="G181" s="101">
        <f t="shared" si="67"/>
        <v>0</v>
      </c>
    </row>
    <row r="182" spans="1:7">
      <c r="A182" s="48">
        <v>3211</v>
      </c>
      <c r="B182" s="42" t="s">
        <v>1296</v>
      </c>
      <c r="C182" s="154">
        <v>827.11</v>
      </c>
      <c r="D182" s="81">
        <f t="shared" si="81"/>
        <v>109.77636206782135</v>
      </c>
      <c r="E182" s="81">
        <v>0</v>
      </c>
      <c r="F182" s="81">
        <v>1295</v>
      </c>
      <c r="G182" s="101" t="str">
        <f t="shared" ref="G182:G184" si="82">IF(E182&lt;&gt;0,F182/E182,"***")</f>
        <v>***</v>
      </c>
    </row>
    <row r="183" spans="1:7">
      <c r="A183" s="48">
        <v>3213</v>
      </c>
      <c r="B183" s="42" t="s">
        <v>1263</v>
      </c>
      <c r="C183" s="154">
        <v>0</v>
      </c>
      <c r="D183" s="81">
        <f>C183/7.5345</f>
        <v>0</v>
      </c>
      <c r="E183" s="81">
        <v>0</v>
      </c>
      <c r="F183" s="81">
        <v>400</v>
      </c>
      <c r="G183" s="101" t="str">
        <f t="shared" si="82"/>
        <v>***</v>
      </c>
    </row>
    <row r="184" spans="1:7">
      <c r="A184" s="48">
        <v>3225</v>
      </c>
      <c r="B184" s="42" t="s">
        <v>1406</v>
      </c>
      <c r="C184" s="154">
        <v>24640.49</v>
      </c>
      <c r="D184" s="81">
        <f t="shared" si="81"/>
        <v>3270.3550335125092</v>
      </c>
      <c r="E184" s="81">
        <v>0</v>
      </c>
      <c r="F184" s="81">
        <v>0</v>
      </c>
      <c r="G184" s="101" t="str">
        <f t="shared" si="82"/>
        <v>***</v>
      </c>
    </row>
    <row r="185" spans="1:7">
      <c r="A185" s="48">
        <v>3231</v>
      </c>
      <c r="B185" s="42" t="s">
        <v>1268</v>
      </c>
      <c r="C185" s="154">
        <v>7168.81</v>
      </c>
      <c r="D185" s="81">
        <f t="shared" si="81"/>
        <v>951.46459619085545</v>
      </c>
      <c r="E185" s="81">
        <v>0</v>
      </c>
      <c r="F185" s="81">
        <v>2200</v>
      </c>
      <c r="G185" s="101" t="str">
        <f t="shared" ref="G185:G192" si="83">IF(E185&lt;&gt;0,F185/E185,"***")</f>
        <v>***</v>
      </c>
    </row>
    <row r="186" spans="1:7">
      <c r="A186" s="48">
        <v>3232</v>
      </c>
      <c r="B186" s="42" t="s">
        <v>1269</v>
      </c>
      <c r="C186" s="154">
        <v>800</v>
      </c>
      <c r="D186" s="81">
        <f t="shared" si="81"/>
        <v>106.17824673170084</v>
      </c>
      <c r="E186" s="81">
        <v>0</v>
      </c>
      <c r="F186" s="81">
        <v>0</v>
      </c>
      <c r="G186" s="101" t="str">
        <f t="shared" si="83"/>
        <v>***</v>
      </c>
    </row>
    <row r="187" spans="1:7" hidden="1">
      <c r="A187" s="48">
        <v>3233</v>
      </c>
      <c r="B187" s="42" t="s">
        <v>1270</v>
      </c>
      <c r="C187" s="154">
        <v>0</v>
      </c>
      <c r="D187" s="81">
        <f t="shared" si="81"/>
        <v>0</v>
      </c>
      <c r="E187" s="81">
        <v>0</v>
      </c>
      <c r="F187" s="81">
        <v>0</v>
      </c>
      <c r="G187" s="101" t="str">
        <f t="shared" si="83"/>
        <v>***</v>
      </c>
    </row>
    <row r="188" spans="1:7">
      <c r="A188" s="48">
        <v>3235</v>
      </c>
      <c r="B188" s="42" t="s">
        <v>1272</v>
      </c>
      <c r="C188" s="154">
        <v>5405</v>
      </c>
      <c r="D188" s="81">
        <f t="shared" si="81"/>
        <v>717.36677948105375</v>
      </c>
      <c r="E188" s="81">
        <v>0</v>
      </c>
      <c r="F188" s="81">
        <v>0</v>
      </c>
      <c r="G188" s="101" t="str">
        <f t="shared" si="83"/>
        <v>***</v>
      </c>
    </row>
    <row r="189" spans="1:7">
      <c r="A189" s="48">
        <v>3237</v>
      </c>
      <c r="B189" s="42" t="s">
        <v>1274</v>
      </c>
      <c r="C189" s="154">
        <v>3088.75</v>
      </c>
      <c r="D189" s="81">
        <f t="shared" si="81"/>
        <v>409.94757449067617</v>
      </c>
      <c r="E189" s="81">
        <v>361006</v>
      </c>
      <c r="F189" s="81">
        <v>3301.48</v>
      </c>
      <c r="G189" s="101">
        <f t="shared" si="83"/>
        <v>9.1452219630698654E-3</v>
      </c>
    </row>
    <row r="190" spans="1:7">
      <c r="A190" s="48">
        <v>3239</v>
      </c>
      <c r="B190" s="42" t="s">
        <v>1276</v>
      </c>
      <c r="C190" s="154">
        <v>16390</v>
      </c>
      <c r="D190" s="81">
        <f t="shared" si="81"/>
        <v>2175.3268299157207</v>
      </c>
      <c r="E190" s="81">
        <v>0</v>
      </c>
      <c r="F190" s="81">
        <v>5754.73</v>
      </c>
      <c r="G190" s="101" t="str">
        <f t="shared" si="83"/>
        <v>***</v>
      </c>
    </row>
    <row r="191" spans="1:7">
      <c r="A191" s="48">
        <v>3241</v>
      </c>
      <c r="B191" s="42" t="s">
        <v>1322</v>
      </c>
      <c r="C191" s="154">
        <v>900</v>
      </c>
      <c r="D191" s="81">
        <f t="shared" si="81"/>
        <v>119.45052757316344</v>
      </c>
      <c r="E191" s="81">
        <v>0</v>
      </c>
      <c r="F191" s="81">
        <v>0</v>
      </c>
      <c r="G191" s="101" t="str">
        <f t="shared" si="83"/>
        <v>***</v>
      </c>
    </row>
    <row r="192" spans="1:7">
      <c r="A192" s="48">
        <v>3292</v>
      </c>
      <c r="B192" s="42" t="s">
        <v>1277</v>
      </c>
      <c r="C192" s="154">
        <v>97.5</v>
      </c>
      <c r="D192" s="81">
        <f t="shared" si="81"/>
        <v>12.940473820426039</v>
      </c>
      <c r="E192" s="81">
        <v>0</v>
      </c>
      <c r="F192" s="81">
        <v>0</v>
      </c>
      <c r="G192" s="101" t="str">
        <f t="shared" si="83"/>
        <v>***</v>
      </c>
    </row>
    <row r="193" spans="1:7">
      <c r="A193" s="48">
        <v>3293</v>
      </c>
      <c r="B193" s="42" t="s">
        <v>1287</v>
      </c>
      <c r="C193" s="154">
        <v>22120.73</v>
      </c>
      <c r="D193" s="81">
        <f t="shared" si="81"/>
        <v>2935.9254097816706</v>
      </c>
      <c r="E193" s="81">
        <v>0</v>
      </c>
      <c r="F193" s="81">
        <v>0</v>
      </c>
      <c r="G193" s="101" t="str">
        <f t="shared" ref="G193:G194" si="84">IF(E193&lt;&gt;0,F193/E193,"***")</f>
        <v>***</v>
      </c>
    </row>
    <row r="194" spans="1:7">
      <c r="A194" s="48">
        <v>3299</v>
      </c>
      <c r="B194" s="42" t="s">
        <v>1280</v>
      </c>
      <c r="C194" s="154">
        <v>15922.31</v>
      </c>
      <c r="D194" s="81">
        <f t="shared" si="81"/>
        <v>2113.2536996482845</v>
      </c>
      <c r="E194" s="81">
        <v>0</v>
      </c>
      <c r="F194" s="81">
        <v>0</v>
      </c>
      <c r="G194" s="101" t="str">
        <f t="shared" si="84"/>
        <v>***</v>
      </c>
    </row>
    <row r="195" spans="1:7">
      <c r="A195" s="37">
        <v>3811</v>
      </c>
      <c r="B195" s="38" t="s">
        <v>1293</v>
      </c>
      <c r="C195" s="154">
        <v>2850</v>
      </c>
      <c r="D195" s="81">
        <f t="shared" si="81"/>
        <v>378.26000398168424</v>
      </c>
      <c r="E195" s="81">
        <v>0</v>
      </c>
      <c r="F195" s="70">
        <v>450</v>
      </c>
      <c r="G195" s="101" t="str">
        <f t="shared" ref="G195:G205" si="85">IF(E195&lt;&gt;0,F195/E195,"***")</f>
        <v>***</v>
      </c>
    </row>
    <row r="196" spans="1:7" ht="30">
      <c r="A196" s="37">
        <v>3862</v>
      </c>
      <c r="B196" s="36" t="s">
        <v>1435</v>
      </c>
      <c r="C196" s="154">
        <v>0</v>
      </c>
      <c r="D196" s="81">
        <f t="shared" si="81"/>
        <v>0</v>
      </c>
      <c r="E196" s="81">
        <v>0</v>
      </c>
      <c r="F196" s="70">
        <v>0</v>
      </c>
      <c r="G196" s="125" t="str">
        <f t="shared" ref="G196" si="86">IF(E196&lt;&gt;0,F196/E196,"***")</f>
        <v>***</v>
      </c>
    </row>
    <row r="197" spans="1:7" s="47" customFormat="1">
      <c r="A197" s="35">
        <v>4</v>
      </c>
      <c r="B197" s="34" t="s">
        <v>1424</v>
      </c>
      <c r="C197" s="183">
        <f>SUM(C198:C200)</f>
        <v>0</v>
      </c>
      <c r="D197" s="98">
        <f>SUM(D198:D200)</f>
        <v>0</v>
      </c>
      <c r="E197" s="98">
        <f t="shared" ref="E197:F197" si="87">SUM(E198:E200)</f>
        <v>1327</v>
      </c>
      <c r="F197" s="98">
        <f t="shared" si="87"/>
        <v>0</v>
      </c>
      <c r="G197" s="73">
        <f t="shared" si="85"/>
        <v>0</v>
      </c>
    </row>
    <row r="198" spans="1:7" s="115" customFormat="1" hidden="1">
      <c r="A198" s="112">
        <v>4123</v>
      </c>
      <c r="B198" s="113" t="s">
        <v>1294</v>
      </c>
      <c r="C198" s="185">
        <v>0</v>
      </c>
      <c r="D198" s="99"/>
      <c r="E198" s="99">
        <v>0</v>
      </c>
      <c r="F198" s="99">
        <v>0</v>
      </c>
      <c r="G198" s="114" t="str">
        <f t="shared" si="85"/>
        <v>***</v>
      </c>
    </row>
    <row r="199" spans="1:7" s="115" customFormat="1" hidden="1">
      <c r="A199" s="112">
        <v>4221</v>
      </c>
      <c r="B199" s="113" t="s">
        <v>1282</v>
      </c>
      <c r="C199" s="185"/>
      <c r="D199" s="99"/>
      <c r="E199" s="99"/>
      <c r="F199" s="99"/>
      <c r="G199" s="114" t="str">
        <f t="shared" ref="G199" si="88">IF(E199&lt;&gt;0,F199/E199,"***")</f>
        <v>***</v>
      </c>
    </row>
    <row r="200" spans="1:7">
      <c r="A200" s="37">
        <v>4241</v>
      </c>
      <c r="B200" s="38" t="s">
        <v>1321</v>
      </c>
      <c r="C200" s="154">
        <v>0</v>
      </c>
      <c r="D200" s="81">
        <f>C200/7.5345</f>
        <v>0</v>
      </c>
      <c r="E200" s="70">
        <v>1327</v>
      </c>
      <c r="F200" s="70">
        <v>0</v>
      </c>
      <c r="G200" s="101">
        <f t="shared" si="85"/>
        <v>0</v>
      </c>
    </row>
    <row r="201" spans="1:7" s="105" customFormat="1" ht="29.25" customHeight="1">
      <c r="A201" s="215" t="s">
        <v>1400</v>
      </c>
      <c r="B201" s="216"/>
      <c r="C201" s="182">
        <f>C202</f>
        <v>5480</v>
      </c>
      <c r="D201" s="103">
        <f>D202</f>
        <v>727.32099011215075</v>
      </c>
      <c r="E201" s="103">
        <f t="shared" ref="E201:F201" si="89">E202</f>
        <v>2654</v>
      </c>
      <c r="F201" s="103">
        <f t="shared" si="89"/>
        <v>0</v>
      </c>
      <c r="G201" s="104">
        <f t="shared" si="85"/>
        <v>0</v>
      </c>
    </row>
    <row r="202" spans="1:7" s="47" customFormat="1">
      <c r="A202" s="35">
        <v>4</v>
      </c>
      <c r="B202" s="34" t="s">
        <v>1424</v>
      </c>
      <c r="C202" s="183">
        <f>C203+C204</f>
        <v>5480</v>
      </c>
      <c r="D202" s="98">
        <f>D203+D204</f>
        <v>727.32099011215075</v>
      </c>
      <c r="E202" s="98">
        <f t="shared" ref="E202:F202" si="90">E203+E204</f>
        <v>2654</v>
      </c>
      <c r="F202" s="98">
        <f t="shared" si="90"/>
        <v>0</v>
      </c>
      <c r="G202" s="73">
        <f t="shared" si="85"/>
        <v>0</v>
      </c>
    </row>
    <row r="203" spans="1:7">
      <c r="A203" s="37">
        <v>4227</v>
      </c>
      <c r="B203" s="38" t="s">
        <v>1283</v>
      </c>
      <c r="C203" s="154">
        <v>4440</v>
      </c>
      <c r="D203" s="81">
        <f>C203/7.5345</f>
        <v>589.28926936093967</v>
      </c>
      <c r="E203" s="70">
        <v>1327</v>
      </c>
      <c r="F203" s="70">
        <v>0</v>
      </c>
      <c r="G203" s="101">
        <f t="shared" si="85"/>
        <v>0</v>
      </c>
    </row>
    <row r="204" spans="1:7">
      <c r="A204" s="139">
        <v>4241</v>
      </c>
      <c r="B204" s="140" t="s">
        <v>1290</v>
      </c>
      <c r="C204" s="154">
        <v>1040</v>
      </c>
      <c r="D204" s="81">
        <f>C204/7.5345</f>
        <v>138.03172075121108</v>
      </c>
      <c r="E204" s="70">
        <v>1327</v>
      </c>
      <c r="F204" s="70">
        <v>0</v>
      </c>
      <c r="G204" s="101"/>
    </row>
    <row r="205" spans="1:7">
      <c r="A205" s="210" t="s">
        <v>1284</v>
      </c>
      <c r="B205" s="211"/>
      <c r="C205" s="155">
        <f>C8+C44+C70+C118+C136+C160+C178+C201</f>
        <v>34075580.839999996</v>
      </c>
      <c r="D205" s="61">
        <f>D8+D44+D70+D118+D136+D160+D178+D201</f>
        <v>4522606.787444422</v>
      </c>
      <c r="E205" s="61">
        <f>E8+E44+E70+E118+E136+E160+E178+E201</f>
        <v>16224542</v>
      </c>
      <c r="F205" s="61">
        <f>F8+F44+F70+F118+F136+F160+F178+F201</f>
        <v>5405805.5499999989</v>
      </c>
      <c r="G205" s="74">
        <f t="shared" si="85"/>
        <v>0.33318694296578594</v>
      </c>
    </row>
    <row r="206" spans="1:7">
      <c r="G206" s="102"/>
    </row>
    <row r="207" spans="1:7">
      <c r="C207" s="156"/>
      <c r="D207" s="150"/>
      <c r="E207" s="150"/>
      <c r="F207" s="150"/>
      <c r="G207" s="102"/>
    </row>
    <row r="208" spans="1:7">
      <c r="B208" s="149"/>
      <c r="C208" s="157"/>
      <c r="D208" s="46"/>
      <c r="E208"/>
      <c r="F208"/>
      <c r="G208" s="178"/>
    </row>
    <row r="209" spans="3:7">
      <c r="C209" s="196"/>
      <c r="D209" s="196"/>
      <c r="E209" s="196"/>
      <c r="F209" s="196"/>
    </row>
    <row r="210" spans="3:7">
      <c r="G210" s="102"/>
    </row>
  </sheetData>
  <mergeCells count="11">
    <mergeCell ref="A4:F4"/>
    <mergeCell ref="A2:G2"/>
    <mergeCell ref="A8:B8"/>
    <mergeCell ref="A44:B44"/>
    <mergeCell ref="A70:B70"/>
    <mergeCell ref="A205:B205"/>
    <mergeCell ref="A118:B118"/>
    <mergeCell ref="A136:B136"/>
    <mergeCell ref="A160:B160"/>
    <mergeCell ref="A178:B178"/>
    <mergeCell ref="A201:B201"/>
  </mergeCells>
  <pageMargins left="0.70866141732283472" right="0.70866141732283472" top="0.74803149606299213" bottom="0.74803149606299213" header="0.31496062992125984" footer="0.31496062992125984"/>
  <pageSetup paperSize="8" scale="87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2:G155"/>
  <sheetViews>
    <sheetView topLeftCell="A146" zoomScale="160" zoomScaleNormal="160" workbookViewId="0">
      <selection activeCell="E8" sqref="E8"/>
    </sheetView>
  </sheetViews>
  <sheetFormatPr defaultRowHeight="15"/>
  <cols>
    <col min="1" max="1" width="8.85546875" style="51" customWidth="1"/>
    <col min="2" max="2" width="59.42578125" customWidth="1"/>
    <col min="3" max="3" width="17.85546875" style="187" customWidth="1"/>
    <col min="4" max="4" width="16.28515625" style="102" customWidth="1"/>
    <col min="5" max="5" width="18.7109375" style="95" bestFit="1" customWidth="1"/>
    <col min="6" max="6" width="15.5703125" style="95" customWidth="1"/>
    <col min="7" max="7" width="13.140625" style="82" customWidth="1"/>
    <col min="8" max="8" width="16.7109375" customWidth="1"/>
  </cols>
  <sheetData>
    <row r="2" spans="1:7">
      <c r="A2" s="212" t="s">
        <v>1427</v>
      </c>
      <c r="B2" s="212"/>
      <c r="C2" s="212"/>
      <c r="D2" s="212"/>
      <c r="E2" s="212"/>
      <c r="F2" s="212"/>
      <c r="G2" s="212"/>
    </row>
    <row r="3" spans="1:7" s="76" customFormat="1">
      <c r="A3" s="93"/>
      <c r="B3" s="93"/>
      <c r="C3" s="179"/>
      <c r="D3" s="96"/>
      <c r="E3" s="96"/>
      <c r="F3" s="96"/>
      <c r="G3" s="100"/>
    </row>
    <row r="4" spans="1:7">
      <c r="A4" s="198" t="s">
        <v>1428</v>
      </c>
      <c r="B4" s="198"/>
      <c r="C4" s="198"/>
      <c r="D4" s="198"/>
      <c r="E4" s="198"/>
      <c r="F4" s="198"/>
    </row>
    <row r="5" spans="1:7">
      <c r="A5" s="94"/>
      <c r="B5" s="94"/>
      <c r="C5" s="180"/>
      <c r="D5" s="188"/>
      <c r="E5" s="97"/>
      <c r="F5" s="97"/>
    </row>
    <row r="6" spans="1:7" ht="54.75" customHeight="1">
      <c r="A6" s="65" t="s">
        <v>1302</v>
      </c>
      <c r="B6" s="65" t="s">
        <v>1429</v>
      </c>
      <c r="C6" s="148" t="s">
        <v>1498</v>
      </c>
      <c r="D6" s="59" t="s">
        <v>1502</v>
      </c>
      <c r="E6" s="59" t="s">
        <v>1499</v>
      </c>
      <c r="F6" s="59" t="s">
        <v>1500</v>
      </c>
      <c r="G6" s="59" t="s">
        <v>1501</v>
      </c>
    </row>
    <row r="7" spans="1:7">
      <c r="A7" s="65">
        <v>1</v>
      </c>
      <c r="B7" s="65">
        <v>2</v>
      </c>
      <c r="C7" s="181">
        <v>3</v>
      </c>
      <c r="D7" s="108">
        <v>4</v>
      </c>
      <c r="E7" s="109">
        <v>5</v>
      </c>
      <c r="F7" s="110">
        <v>6</v>
      </c>
      <c r="G7" s="110">
        <v>7</v>
      </c>
    </row>
    <row r="8" spans="1:7" s="105" customFormat="1" ht="21.75" customHeight="1">
      <c r="A8" s="219" t="s">
        <v>1506</v>
      </c>
      <c r="B8" s="220"/>
      <c r="C8" s="182">
        <f>C9+C28</f>
        <v>18601302.009999998</v>
      </c>
      <c r="D8" s="103">
        <f>D9+D28</f>
        <v>2468817.0429358277</v>
      </c>
      <c r="E8" s="103">
        <f t="shared" ref="E8:F8" si="0">E9+E28</f>
        <v>6704972</v>
      </c>
      <c r="F8" s="103">
        <f t="shared" si="0"/>
        <v>2888204.709999999</v>
      </c>
      <c r="G8" s="104">
        <f>IF(E8&lt;&gt;0,F8/E8,"***")</f>
        <v>0.43075567056804998</v>
      </c>
    </row>
    <row r="9" spans="1:7" s="47" customFormat="1">
      <c r="A9" s="35">
        <v>3</v>
      </c>
      <c r="B9" s="34" t="s">
        <v>1297</v>
      </c>
      <c r="C9" s="183">
        <f>SUM(C10:C27)</f>
        <v>18601302.009999998</v>
      </c>
      <c r="D9" s="98">
        <f>SUM(D10:D27)</f>
        <v>2468817.0429358277</v>
      </c>
      <c r="E9" s="98">
        <f t="shared" ref="E9:F9" si="1">SUM(E10:E27)</f>
        <v>6704972</v>
      </c>
      <c r="F9" s="98">
        <f t="shared" si="1"/>
        <v>2888204.709999999</v>
      </c>
      <c r="G9" s="73">
        <f t="shared" ref="G9:G49" si="2">IF(E9&lt;&gt;0,F9/E9,"***")</f>
        <v>0.43075567056804998</v>
      </c>
    </row>
    <row r="10" spans="1:7">
      <c r="A10" s="37">
        <v>3111</v>
      </c>
      <c r="B10" s="38" t="s">
        <v>1285</v>
      </c>
      <c r="C10" s="154">
        <v>14938415.07</v>
      </c>
      <c r="D10" s="81">
        <f>C10/7.5345</f>
        <v>1982668.4013537725</v>
      </c>
      <c r="E10" s="70">
        <v>5410920</v>
      </c>
      <c r="F10" s="70">
        <f>1579108.63+258758.7+468858.06</f>
        <v>2306725.3899999997</v>
      </c>
      <c r="G10" s="101">
        <f t="shared" si="2"/>
        <v>0.42630927642618993</v>
      </c>
    </row>
    <row r="11" spans="1:7">
      <c r="A11" s="37">
        <v>3121</v>
      </c>
      <c r="B11" s="38" t="s">
        <v>1286</v>
      </c>
      <c r="C11" s="154">
        <v>336665.88</v>
      </c>
      <c r="D11" s="81">
        <f t="shared" ref="D11:D27" si="3">C11/7.5345</f>
        <v>44683.241090981486</v>
      </c>
      <c r="E11" s="70">
        <v>128265</v>
      </c>
      <c r="F11" s="70">
        <v>65828.59</v>
      </c>
      <c r="G11" s="101">
        <f t="shared" si="2"/>
        <v>0.51322332670642812</v>
      </c>
    </row>
    <row r="12" spans="1:7">
      <c r="A12" s="37">
        <v>3132</v>
      </c>
      <c r="B12" s="38" t="s">
        <v>1325</v>
      </c>
      <c r="C12" s="154">
        <v>2463964.39</v>
      </c>
      <c r="D12" s="81">
        <f t="shared" si="3"/>
        <v>327024.27367443097</v>
      </c>
      <c r="E12" s="70">
        <v>756271</v>
      </c>
      <c r="F12" s="70">
        <v>378841.85</v>
      </c>
      <c r="G12" s="101">
        <f t="shared" si="2"/>
        <v>0.500933990593319</v>
      </c>
    </row>
    <row r="13" spans="1:7">
      <c r="A13" s="37">
        <v>3212</v>
      </c>
      <c r="B13" s="50" t="s">
        <v>1262</v>
      </c>
      <c r="C13" s="154">
        <v>837653.83</v>
      </c>
      <c r="D13" s="81">
        <f t="shared" si="3"/>
        <v>111175.76879686773</v>
      </c>
      <c r="E13" s="70">
        <v>362052</v>
      </c>
      <c r="F13" s="70">
        <v>129575.92</v>
      </c>
      <c r="G13" s="101">
        <f t="shared" si="2"/>
        <v>0.35789312032525716</v>
      </c>
    </row>
    <row r="14" spans="1:7" hidden="1">
      <c r="A14" s="37">
        <v>3213</v>
      </c>
      <c r="B14" s="38" t="s">
        <v>1263</v>
      </c>
      <c r="C14" s="154">
        <v>0</v>
      </c>
      <c r="D14" s="81">
        <f t="shared" si="3"/>
        <v>0</v>
      </c>
      <c r="E14" s="70">
        <v>0</v>
      </c>
      <c r="F14" s="70">
        <v>0</v>
      </c>
      <c r="G14" s="101" t="str">
        <f t="shared" si="2"/>
        <v>***</v>
      </c>
    </row>
    <row r="15" spans="1:7" hidden="1">
      <c r="A15" s="37">
        <v>3231</v>
      </c>
      <c r="B15" s="38" t="s">
        <v>1268</v>
      </c>
      <c r="C15" s="154">
        <v>0</v>
      </c>
      <c r="D15" s="81">
        <f t="shared" si="3"/>
        <v>0</v>
      </c>
      <c r="E15" s="70">
        <v>0</v>
      </c>
      <c r="F15" s="70">
        <v>0</v>
      </c>
      <c r="G15" s="101" t="str">
        <f t="shared" si="2"/>
        <v>***</v>
      </c>
    </row>
    <row r="16" spans="1:7" hidden="1">
      <c r="A16" s="37">
        <v>3233</v>
      </c>
      <c r="B16" s="38" t="s">
        <v>1270</v>
      </c>
      <c r="C16" s="154">
        <v>0</v>
      </c>
      <c r="D16" s="81">
        <f t="shared" si="3"/>
        <v>0</v>
      </c>
      <c r="E16" s="70">
        <v>0</v>
      </c>
      <c r="F16" s="70">
        <v>0</v>
      </c>
      <c r="G16" s="101" t="str">
        <f t="shared" si="2"/>
        <v>***</v>
      </c>
    </row>
    <row r="17" spans="1:7">
      <c r="A17" s="37">
        <v>3236</v>
      </c>
      <c r="B17" s="38" t="s">
        <v>1273</v>
      </c>
      <c r="C17" s="154">
        <v>0</v>
      </c>
      <c r="D17" s="81">
        <f t="shared" si="3"/>
        <v>0</v>
      </c>
      <c r="E17" s="70">
        <v>27758</v>
      </c>
      <c r="F17" s="70">
        <v>0</v>
      </c>
      <c r="G17" s="101">
        <f t="shared" si="2"/>
        <v>0</v>
      </c>
    </row>
    <row r="18" spans="1:7">
      <c r="A18" s="37">
        <v>3237</v>
      </c>
      <c r="B18" s="38" t="s">
        <v>1274</v>
      </c>
      <c r="C18" s="154">
        <v>0</v>
      </c>
      <c r="D18" s="81">
        <f t="shared" si="3"/>
        <v>0</v>
      </c>
      <c r="E18" s="70">
        <v>0</v>
      </c>
      <c r="F18" s="70">
        <v>1411.01</v>
      </c>
      <c r="G18" s="101" t="str">
        <f t="shared" si="2"/>
        <v>***</v>
      </c>
    </row>
    <row r="19" spans="1:7" hidden="1">
      <c r="A19" s="37">
        <v>3238</v>
      </c>
      <c r="B19" s="38" t="s">
        <v>1275</v>
      </c>
      <c r="C19" s="154">
        <v>0</v>
      </c>
      <c r="D19" s="81">
        <f t="shared" si="3"/>
        <v>0</v>
      </c>
      <c r="E19" s="70">
        <v>0</v>
      </c>
      <c r="F19" s="70">
        <v>0</v>
      </c>
      <c r="G19" s="101" t="str">
        <f t="shared" si="2"/>
        <v>***</v>
      </c>
    </row>
    <row r="20" spans="1:7" s="47" customFormat="1" hidden="1">
      <c r="A20" s="37">
        <v>3239</v>
      </c>
      <c r="B20" s="38" t="s">
        <v>1276</v>
      </c>
      <c r="C20" s="154">
        <v>0</v>
      </c>
      <c r="D20" s="81">
        <f t="shared" si="3"/>
        <v>0</v>
      </c>
      <c r="E20" s="70">
        <v>0</v>
      </c>
      <c r="F20" s="70">
        <v>0</v>
      </c>
      <c r="G20" s="101" t="str">
        <f t="shared" si="2"/>
        <v>***</v>
      </c>
    </row>
    <row r="21" spans="1:7" hidden="1">
      <c r="A21" s="37">
        <v>3241</v>
      </c>
      <c r="B21" s="38" t="s">
        <v>1322</v>
      </c>
      <c r="C21" s="154">
        <v>0</v>
      </c>
      <c r="D21" s="81">
        <f t="shared" si="3"/>
        <v>0</v>
      </c>
      <c r="E21" s="70">
        <v>0</v>
      </c>
      <c r="F21" s="70">
        <v>0</v>
      </c>
      <c r="G21" s="101" t="str">
        <f t="shared" si="2"/>
        <v>***</v>
      </c>
    </row>
    <row r="22" spans="1:7" hidden="1">
      <c r="A22" s="37">
        <v>3293</v>
      </c>
      <c r="B22" s="38" t="s">
        <v>1287</v>
      </c>
      <c r="C22" s="154">
        <v>0</v>
      </c>
      <c r="D22" s="81">
        <f t="shared" si="3"/>
        <v>0</v>
      </c>
      <c r="E22" s="70">
        <v>0</v>
      </c>
      <c r="F22" s="70">
        <v>0</v>
      </c>
      <c r="G22" s="101" t="str">
        <f t="shared" si="2"/>
        <v>***</v>
      </c>
    </row>
    <row r="23" spans="1:7">
      <c r="A23" s="37">
        <v>3295</v>
      </c>
      <c r="B23" s="38" t="s">
        <v>1279</v>
      </c>
      <c r="C23" s="154">
        <v>16875</v>
      </c>
      <c r="D23" s="81">
        <f t="shared" si="3"/>
        <v>2239.6973919968145</v>
      </c>
      <c r="E23" s="70">
        <v>4973</v>
      </c>
      <c r="F23" s="70">
        <v>2893.28</v>
      </c>
      <c r="G23" s="101">
        <f t="shared" si="2"/>
        <v>0.58179770762115424</v>
      </c>
    </row>
    <row r="24" spans="1:7">
      <c r="A24" s="37">
        <v>3296</v>
      </c>
      <c r="B24" s="36" t="s">
        <v>1370</v>
      </c>
      <c r="C24" s="154">
        <v>3750</v>
      </c>
      <c r="D24" s="81">
        <f t="shared" si="3"/>
        <v>497.71053155484765</v>
      </c>
      <c r="E24" s="70">
        <v>0</v>
      </c>
      <c r="F24" s="70">
        <v>1756.5</v>
      </c>
      <c r="G24" s="101" t="str">
        <f t="shared" ref="G24" si="4">IF(E24&lt;&gt;0,F24/E24,"***")</f>
        <v>***</v>
      </c>
    </row>
    <row r="25" spans="1:7">
      <c r="A25" s="37">
        <v>3433</v>
      </c>
      <c r="B25" s="36" t="s">
        <v>1366</v>
      </c>
      <c r="C25" s="154">
        <v>3977.84</v>
      </c>
      <c r="D25" s="81">
        <f t="shared" si="3"/>
        <v>527.95009622403609</v>
      </c>
      <c r="E25" s="70">
        <v>0</v>
      </c>
      <c r="F25" s="70">
        <v>1172.17</v>
      </c>
      <c r="G25" s="101" t="str">
        <f t="shared" ref="G25" si="5">IF(E25&lt;&gt;0,F25/E25,"***")</f>
        <v>***</v>
      </c>
    </row>
    <row r="26" spans="1:7" hidden="1">
      <c r="A26" s="37">
        <v>3691</v>
      </c>
      <c r="B26" s="36" t="s">
        <v>1306</v>
      </c>
      <c r="C26" s="154">
        <v>0</v>
      </c>
      <c r="D26" s="81">
        <f t="shared" si="3"/>
        <v>0</v>
      </c>
      <c r="E26" s="70">
        <v>0</v>
      </c>
      <c r="F26" s="70">
        <v>0</v>
      </c>
      <c r="G26" s="101" t="str">
        <f t="shared" ref="G26" si="6">IF(E26&lt;&gt;0,F26/E26,"***")</f>
        <v>***</v>
      </c>
    </row>
    <row r="27" spans="1:7">
      <c r="A27" s="37">
        <v>3811</v>
      </c>
      <c r="B27" s="38" t="s">
        <v>1293</v>
      </c>
      <c r="C27" s="154">
        <v>0</v>
      </c>
      <c r="D27" s="81">
        <f t="shared" si="3"/>
        <v>0</v>
      </c>
      <c r="E27" s="70">
        <v>14733</v>
      </c>
      <c r="F27" s="70">
        <v>0</v>
      </c>
      <c r="G27" s="101">
        <f>IF(E27&lt;&gt;0,F27/E27,"***")</f>
        <v>0</v>
      </c>
    </row>
    <row r="28" spans="1:7" s="47" customFormat="1">
      <c r="A28" s="35">
        <v>4</v>
      </c>
      <c r="B28" s="34" t="s">
        <v>1424</v>
      </c>
      <c r="C28" s="183">
        <f>C29</f>
        <v>0</v>
      </c>
      <c r="D28" s="98">
        <f>D29</f>
        <v>0</v>
      </c>
      <c r="E28" s="98">
        <f t="shared" ref="E28:F28" si="7">E29</f>
        <v>0</v>
      </c>
      <c r="F28" s="98">
        <f t="shared" si="7"/>
        <v>0</v>
      </c>
      <c r="G28" s="73" t="str">
        <f t="shared" si="2"/>
        <v>***</v>
      </c>
    </row>
    <row r="29" spans="1:7" s="17" customFormat="1" ht="15" hidden="1" customHeight="1">
      <c r="A29" s="37">
        <v>4227</v>
      </c>
      <c r="B29" s="38" t="s">
        <v>1283</v>
      </c>
      <c r="C29" s="154">
        <v>0</v>
      </c>
      <c r="D29" s="81"/>
      <c r="E29" s="70">
        <v>0</v>
      </c>
      <c r="F29" s="70">
        <v>0</v>
      </c>
      <c r="G29" s="101" t="str">
        <f t="shared" si="2"/>
        <v>***</v>
      </c>
    </row>
    <row r="30" spans="1:7" s="105" customFormat="1" ht="30" hidden="1" customHeight="1">
      <c r="A30" s="219" t="s">
        <v>1436</v>
      </c>
      <c r="B30" s="220"/>
      <c r="C30" s="182">
        <f>C31</f>
        <v>0</v>
      </c>
      <c r="D30" s="103">
        <f>D31</f>
        <v>0</v>
      </c>
      <c r="E30" s="103">
        <f t="shared" ref="E30:F30" si="8">E31</f>
        <v>0</v>
      </c>
      <c r="F30" s="103">
        <f t="shared" si="8"/>
        <v>0</v>
      </c>
      <c r="G30" s="104" t="str">
        <f>IF(E30&lt;&gt;0,F30/E30,"***")</f>
        <v>***</v>
      </c>
    </row>
    <row r="31" spans="1:7" s="47" customFormat="1" hidden="1">
      <c r="A31" s="35">
        <v>3</v>
      </c>
      <c r="B31" s="34" t="s">
        <v>1297</v>
      </c>
      <c r="C31" s="183">
        <f>C32+C33+C34+C35</f>
        <v>0</v>
      </c>
      <c r="D31" s="98">
        <f>D32+D33+D34+D35</f>
        <v>0</v>
      </c>
      <c r="E31" s="98">
        <f t="shared" ref="E31:F31" si="9">E32+E33+E34+E35</f>
        <v>0</v>
      </c>
      <c r="F31" s="98">
        <f t="shared" si="9"/>
        <v>0</v>
      </c>
      <c r="G31" s="73" t="str">
        <f t="shared" ref="G31:G35" si="10">IF(E31&lt;&gt;0,F31/E31,"***")</f>
        <v>***</v>
      </c>
    </row>
    <row r="32" spans="1:7" hidden="1">
      <c r="A32" s="37">
        <v>3211</v>
      </c>
      <c r="B32" s="38" t="s">
        <v>1261</v>
      </c>
      <c r="C32" s="154">
        <v>0</v>
      </c>
      <c r="D32" s="81">
        <f>C32/7.5345</f>
        <v>0</v>
      </c>
      <c r="E32" s="70">
        <v>0</v>
      </c>
      <c r="F32" s="70">
        <v>0</v>
      </c>
      <c r="G32" s="101" t="str">
        <f t="shared" si="10"/>
        <v>***</v>
      </c>
    </row>
    <row r="33" spans="1:7" hidden="1">
      <c r="A33" s="37">
        <v>3241</v>
      </c>
      <c r="B33" s="38" t="s">
        <v>1322</v>
      </c>
      <c r="C33" s="154">
        <v>0</v>
      </c>
      <c r="D33" s="81">
        <f t="shared" ref="D33:D35" si="11">C33/7.5345</f>
        <v>0</v>
      </c>
      <c r="E33" s="70">
        <v>0</v>
      </c>
      <c r="F33" s="70">
        <v>0</v>
      </c>
      <c r="G33" s="101" t="str">
        <f t="shared" si="10"/>
        <v>***</v>
      </c>
    </row>
    <row r="34" spans="1:7" hidden="1">
      <c r="A34" s="37">
        <v>3293</v>
      </c>
      <c r="B34" s="38" t="s">
        <v>1287</v>
      </c>
      <c r="C34" s="154">
        <v>0</v>
      </c>
      <c r="D34" s="81">
        <f t="shared" si="11"/>
        <v>0</v>
      </c>
      <c r="E34" s="70">
        <v>0</v>
      </c>
      <c r="F34" s="70">
        <v>0</v>
      </c>
      <c r="G34" s="101" t="str">
        <f t="shared" si="10"/>
        <v>***</v>
      </c>
    </row>
    <row r="35" spans="1:7" hidden="1">
      <c r="A35" s="37">
        <v>3299</v>
      </c>
      <c r="B35" s="38" t="s">
        <v>1280</v>
      </c>
      <c r="C35" s="154">
        <v>0</v>
      </c>
      <c r="D35" s="81">
        <f t="shared" si="11"/>
        <v>0</v>
      </c>
      <c r="E35" s="70">
        <v>0</v>
      </c>
      <c r="F35" s="70">
        <v>0</v>
      </c>
      <c r="G35" s="101" t="str">
        <f t="shared" si="10"/>
        <v>***</v>
      </c>
    </row>
    <row r="36" spans="1:7" ht="55.5" customHeight="1">
      <c r="A36" s="219" t="s">
        <v>1512</v>
      </c>
      <c r="B36" s="220"/>
      <c r="C36" s="182">
        <f>C37+C77</f>
        <v>8620625.6400000006</v>
      </c>
      <c r="D36" s="103">
        <f>D37+D77</f>
        <v>1144153.6452319331</v>
      </c>
      <c r="E36" s="103">
        <f t="shared" ref="E36:F36" si="12">E37+E77</f>
        <v>2739063</v>
      </c>
      <c r="F36" s="103">
        <f t="shared" si="12"/>
        <v>1409774.35</v>
      </c>
      <c r="G36" s="104">
        <f t="shared" si="2"/>
        <v>0.51469219583485304</v>
      </c>
    </row>
    <row r="37" spans="1:7">
      <c r="A37" s="35">
        <v>3</v>
      </c>
      <c r="B37" s="34" t="s">
        <v>1297</v>
      </c>
      <c r="C37" s="183">
        <f>SUM(C38:C76)</f>
        <v>8234580.46</v>
      </c>
      <c r="D37" s="98">
        <f>SUM(D38:D76)</f>
        <v>1092916.6447674034</v>
      </c>
      <c r="E37" s="98">
        <f t="shared" ref="E37:F37" si="13">SUM(E38:E76)</f>
        <v>2694323</v>
      </c>
      <c r="F37" s="98">
        <f t="shared" si="13"/>
        <v>1378411.27</v>
      </c>
      <c r="G37" s="73">
        <f t="shared" si="2"/>
        <v>0.51159837554740095</v>
      </c>
    </row>
    <row r="38" spans="1:7">
      <c r="A38" s="37">
        <v>3111</v>
      </c>
      <c r="B38" s="38" t="s">
        <v>1285</v>
      </c>
      <c r="C38" s="154">
        <v>3289015.23</v>
      </c>
      <c r="D38" s="81">
        <f>C38/7.5345</f>
        <v>436527.33824407723</v>
      </c>
      <c r="E38" s="70">
        <v>996797</v>
      </c>
      <c r="F38" s="70">
        <f>367311.87+69490.76+112210.73</f>
        <v>549013.36</v>
      </c>
      <c r="G38" s="101">
        <f t="shared" si="2"/>
        <v>0.55077750033356843</v>
      </c>
    </row>
    <row r="39" spans="1:7" hidden="1">
      <c r="A39" s="37">
        <v>3112</v>
      </c>
      <c r="B39" s="38" t="s">
        <v>1365</v>
      </c>
      <c r="C39" s="154">
        <v>0</v>
      </c>
      <c r="D39" s="81">
        <f t="shared" ref="D39:D76" si="14">C39/7.5345</f>
        <v>0</v>
      </c>
      <c r="E39" s="70">
        <v>0</v>
      </c>
      <c r="F39" s="70">
        <v>0</v>
      </c>
      <c r="G39" s="101" t="str">
        <f t="shared" si="2"/>
        <v>***</v>
      </c>
    </row>
    <row r="40" spans="1:7" hidden="1">
      <c r="A40" s="37">
        <v>3113</v>
      </c>
      <c r="B40" s="38" t="s">
        <v>1373</v>
      </c>
      <c r="C40" s="154">
        <v>0</v>
      </c>
      <c r="D40" s="81">
        <f t="shared" si="14"/>
        <v>0</v>
      </c>
      <c r="E40" s="70">
        <v>0</v>
      </c>
      <c r="F40" s="70">
        <v>0</v>
      </c>
      <c r="G40" s="101" t="str">
        <f t="shared" si="2"/>
        <v>***</v>
      </c>
    </row>
    <row r="41" spans="1:7">
      <c r="A41" s="37">
        <v>3121</v>
      </c>
      <c r="B41" s="38" t="s">
        <v>1286</v>
      </c>
      <c r="C41" s="154">
        <v>937951.09</v>
      </c>
      <c r="D41" s="81">
        <f t="shared" si="14"/>
        <v>124487.50282035967</v>
      </c>
      <c r="E41" s="70">
        <v>449045</v>
      </c>
      <c r="F41" s="70">
        <v>143438.26</v>
      </c>
      <c r="G41" s="101">
        <f t="shared" si="2"/>
        <v>0.31942958946208067</v>
      </c>
    </row>
    <row r="42" spans="1:7">
      <c r="A42" s="37">
        <v>3132</v>
      </c>
      <c r="B42" s="38" t="s">
        <v>1325</v>
      </c>
      <c r="C42" s="154">
        <v>546115.43999999994</v>
      </c>
      <c r="D42" s="81">
        <f t="shared" si="14"/>
        <v>72481.974915389204</v>
      </c>
      <c r="E42" s="70">
        <v>221500</v>
      </c>
      <c r="F42" s="70">
        <v>87996.77</v>
      </c>
      <c r="G42" s="101">
        <f t="shared" si="2"/>
        <v>0.39727661399548536</v>
      </c>
    </row>
    <row r="43" spans="1:7" ht="15.75" customHeight="1">
      <c r="A43" s="37">
        <v>3211</v>
      </c>
      <c r="B43" s="38" t="s">
        <v>1261</v>
      </c>
      <c r="C43" s="154">
        <v>204011.95</v>
      </c>
      <c r="D43" s="81">
        <f t="shared" si="14"/>
        <v>27077.038954144271</v>
      </c>
      <c r="E43" s="70">
        <v>61118</v>
      </c>
      <c r="F43" s="70">
        <v>59217.26</v>
      </c>
      <c r="G43" s="101">
        <f t="shared" si="2"/>
        <v>0.96890048758139991</v>
      </c>
    </row>
    <row r="44" spans="1:7">
      <c r="A44" s="37">
        <v>3212</v>
      </c>
      <c r="B44" s="38" t="s">
        <v>1262</v>
      </c>
      <c r="C44" s="154">
        <v>188497.84</v>
      </c>
      <c r="D44" s="81">
        <f t="shared" si="14"/>
        <v>25017.962704890833</v>
      </c>
      <c r="E44" s="70">
        <v>66361</v>
      </c>
      <c r="F44" s="70">
        <v>28516.18</v>
      </c>
      <c r="G44" s="101">
        <f t="shared" si="2"/>
        <v>0.42971293380147979</v>
      </c>
    </row>
    <row r="45" spans="1:7">
      <c r="A45" s="37">
        <v>3213</v>
      </c>
      <c r="B45" s="38" t="s">
        <v>1263</v>
      </c>
      <c r="C45" s="154">
        <v>6500</v>
      </c>
      <c r="D45" s="81">
        <f t="shared" si="14"/>
        <v>862.69825469506929</v>
      </c>
      <c r="E45" s="70">
        <v>5044</v>
      </c>
      <c r="F45" s="70">
        <v>1401.27</v>
      </c>
      <c r="G45" s="101">
        <f t="shared" si="2"/>
        <v>0.27780927835051544</v>
      </c>
    </row>
    <row r="46" spans="1:7">
      <c r="A46" s="37">
        <v>3214</v>
      </c>
      <c r="B46" s="38" t="s">
        <v>1405</v>
      </c>
      <c r="C46" s="154">
        <v>0</v>
      </c>
      <c r="D46" s="81">
        <f t="shared" si="14"/>
        <v>0</v>
      </c>
      <c r="E46" s="70">
        <v>5000</v>
      </c>
      <c r="F46" s="70">
        <f>12.94+482.65+5431.02</f>
        <v>5926.6100000000006</v>
      </c>
      <c r="G46" s="101">
        <f t="shared" si="2"/>
        <v>1.1853220000000002</v>
      </c>
    </row>
    <row r="47" spans="1:7">
      <c r="A47" s="37">
        <v>3221</v>
      </c>
      <c r="B47" s="38" t="s">
        <v>1291</v>
      </c>
      <c r="C47" s="154">
        <v>70385.119999999995</v>
      </c>
      <c r="D47" s="81">
        <f t="shared" si="14"/>
        <v>9341.7107970004636</v>
      </c>
      <c r="E47" s="70">
        <v>27451</v>
      </c>
      <c r="F47" s="70">
        <v>18305.599999999999</v>
      </c>
      <c r="G47" s="101">
        <f t="shared" si="2"/>
        <v>0.6668463808240136</v>
      </c>
    </row>
    <row r="48" spans="1:7">
      <c r="A48" s="37">
        <v>3222</v>
      </c>
      <c r="B48" s="38" t="s">
        <v>1265</v>
      </c>
      <c r="C48" s="154">
        <v>8020.47</v>
      </c>
      <c r="D48" s="81">
        <f t="shared" si="14"/>
        <v>1064.4993032052557</v>
      </c>
      <c r="E48" s="70">
        <v>4646</v>
      </c>
      <c r="F48" s="70">
        <v>755.19</v>
      </c>
      <c r="G48" s="101">
        <f t="shared" ref="G48" si="15">IF(E48&lt;&gt;0,F48/E48,"***")</f>
        <v>0.16254627636676713</v>
      </c>
    </row>
    <row r="49" spans="1:7">
      <c r="A49" s="37">
        <v>3223</v>
      </c>
      <c r="B49" s="38" t="s">
        <v>1266</v>
      </c>
      <c r="C49" s="154">
        <v>880167.56</v>
      </c>
      <c r="D49" s="81">
        <f t="shared" si="14"/>
        <v>116818.31043864888</v>
      </c>
      <c r="E49" s="70">
        <v>222974</v>
      </c>
      <c r="F49" s="70">
        <v>78221.919999999998</v>
      </c>
      <c r="G49" s="101">
        <f t="shared" si="2"/>
        <v>0.35081184353332673</v>
      </c>
    </row>
    <row r="50" spans="1:7">
      <c r="A50" s="37">
        <v>3224</v>
      </c>
      <c r="B50" s="50" t="s">
        <v>1267</v>
      </c>
      <c r="C50" s="154">
        <v>11761.15</v>
      </c>
      <c r="D50" s="81">
        <f t="shared" si="14"/>
        <v>1560.9728581856791</v>
      </c>
      <c r="E50" s="70">
        <v>7963</v>
      </c>
      <c r="F50" s="70">
        <v>3927.13</v>
      </c>
      <c r="G50" s="101">
        <f t="shared" ref="G50:G87" si="16">IF(E50&lt;&gt;0,F50/E50,"***")</f>
        <v>0.49317217129222657</v>
      </c>
    </row>
    <row r="51" spans="1:7">
      <c r="A51" s="37">
        <v>3225</v>
      </c>
      <c r="B51" s="50" t="s">
        <v>1406</v>
      </c>
      <c r="C51" s="154">
        <v>54843.35</v>
      </c>
      <c r="D51" s="81">
        <f t="shared" si="14"/>
        <v>7278.9634348662812</v>
      </c>
      <c r="E51" s="70">
        <v>11945</v>
      </c>
      <c r="F51" s="70">
        <v>2062.42</v>
      </c>
      <c r="G51" s="101">
        <f t="shared" si="16"/>
        <v>0.17265969024696526</v>
      </c>
    </row>
    <row r="52" spans="1:7">
      <c r="A52" s="37">
        <v>3227</v>
      </c>
      <c r="B52" s="38" t="s">
        <v>1292</v>
      </c>
      <c r="C52" s="154">
        <v>720</v>
      </c>
      <c r="D52" s="81">
        <f t="shared" si="14"/>
        <v>95.560422058530747</v>
      </c>
      <c r="E52" s="70">
        <v>1991</v>
      </c>
      <c r="F52" s="70">
        <v>0</v>
      </c>
      <c r="G52" s="101">
        <f t="shared" si="16"/>
        <v>0</v>
      </c>
    </row>
    <row r="53" spans="1:7">
      <c r="A53" s="37">
        <v>3231</v>
      </c>
      <c r="B53" s="38" t="s">
        <v>1268</v>
      </c>
      <c r="C53" s="154">
        <v>111258.57</v>
      </c>
      <c r="D53" s="81">
        <f t="shared" si="14"/>
        <v>14766.549870595261</v>
      </c>
      <c r="E53" s="70">
        <v>28270</v>
      </c>
      <c r="F53" s="70">
        <v>16929.240000000002</v>
      </c>
      <c r="G53" s="101">
        <f t="shared" si="16"/>
        <v>0.59884117438981255</v>
      </c>
    </row>
    <row r="54" spans="1:7">
      <c r="A54" s="37">
        <v>3232</v>
      </c>
      <c r="B54" s="38" t="s">
        <v>1269</v>
      </c>
      <c r="C54" s="154">
        <v>113671.24</v>
      </c>
      <c r="D54" s="81">
        <f t="shared" si="14"/>
        <v>15086.766208772977</v>
      </c>
      <c r="E54" s="70">
        <v>46453</v>
      </c>
      <c r="F54" s="70">
        <v>19494.36</v>
      </c>
      <c r="G54" s="101">
        <f t="shared" si="16"/>
        <v>0.41965771855423761</v>
      </c>
    </row>
    <row r="55" spans="1:7" s="47" customFormat="1">
      <c r="A55" s="37">
        <v>3233</v>
      </c>
      <c r="B55" s="38" t="s">
        <v>1270</v>
      </c>
      <c r="C55" s="154">
        <v>298387.83</v>
      </c>
      <c r="D55" s="81">
        <f t="shared" si="14"/>
        <v>39602.87079434601</v>
      </c>
      <c r="E55" s="70">
        <v>95574</v>
      </c>
      <c r="F55" s="70">
        <v>50735.21</v>
      </c>
      <c r="G55" s="101">
        <f t="shared" si="16"/>
        <v>0.53084740619833848</v>
      </c>
    </row>
    <row r="56" spans="1:7">
      <c r="A56" s="37">
        <v>3234</v>
      </c>
      <c r="B56" s="38" t="s">
        <v>1271</v>
      </c>
      <c r="C56" s="154">
        <v>95020.6</v>
      </c>
      <c r="D56" s="81">
        <f t="shared" si="14"/>
        <v>12611.400889242817</v>
      </c>
      <c r="E56" s="70">
        <v>23890</v>
      </c>
      <c r="F56" s="70">
        <v>10005.92</v>
      </c>
      <c r="G56" s="101">
        <f t="shared" si="16"/>
        <v>0.41883298451234824</v>
      </c>
    </row>
    <row r="57" spans="1:7">
      <c r="A57" s="37">
        <v>3235</v>
      </c>
      <c r="B57" s="38" t="s">
        <v>1272</v>
      </c>
      <c r="C57" s="154">
        <v>189761.37</v>
      </c>
      <c r="D57" s="81">
        <f t="shared" si="14"/>
        <v>25185.661955006966</v>
      </c>
      <c r="E57" s="70">
        <v>36897</v>
      </c>
      <c r="F57" s="70">
        <v>26269.32</v>
      </c>
      <c r="G57" s="101">
        <f t="shared" si="16"/>
        <v>0.71196357427433121</v>
      </c>
    </row>
    <row r="58" spans="1:7">
      <c r="A58" s="37">
        <v>3236</v>
      </c>
      <c r="B58" s="38" t="s">
        <v>1273</v>
      </c>
      <c r="C58" s="154">
        <v>1250</v>
      </c>
      <c r="D58" s="81">
        <f t="shared" si="14"/>
        <v>165.90351051828256</v>
      </c>
      <c r="E58" s="70">
        <v>1991</v>
      </c>
      <c r="F58" s="70">
        <v>0</v>
      </c>
      <c r="G58" s="101">
        <f t="shared" si="16"/>
        <v>0</v>
      </c>
    </row>
    <row r="59" spans="1:7">
      <c r="A59" s="37">
        <v>3237</v>
      </c>
      <c r="B59" s="38" t="s">
        <v>1274</v>
      </c>
      <c r="C59" s="185">
        <v>316287.52</v>
      </c>
      <c r="D59" s="81">
        <f t="shared" si="14"/>
        <v>41978.567920897207</v>
      </c>
      <c r="E59" s="70">
        <v>105433</v>
      </c>
      <c r="F59" s="70">
        <v>107417.66</v>
      </c>
      <c r="G59" s="101">
        <f t="shared" si="16"/>
        <v>1.0188238976411561</v>
      </c>
    </row>
    <row r="60" spans="1:7">
      <c r="A60" s="37">
        <v>3238</v>
      </c>
      <c r="B60" s="38" t="s">
        <v>1275</v>
      </c>
      <c r="C60" s="154">
        <v>46626.13</v>
      </c>
      <c r="D60" s="81">
        <f t="shared" si="14"/>
        <v>6188.3509191054472</v>
      </c>
      <c r="E60" s="70">
        <v>19908</v>
      </c>
      <c r="F60" s="70">
        <f>5760.59+1592.67</f>
        <v>7353.26</v>
      </c>
      <c r="G60" s="101">
        <f t="shared" si="16"/>
        <v>0.36936206550130601</v>
      </c>
    </row>
    <row r="61" spans="1:7">
      <c r="A61" s="37">
        <v>3239</v>
      </c>
      <c r="B61" s="38" t="s">
        <v>1276</v>
      </c>
      <c r="C61" s="154">
        <v>268007.61</v>
      </c>
      <c r="D61" s="81">
        <f t="shared" si="14"/>
        <v>35570.722675691817</v>
      </c>
      <c r="E61" s="70">
        <v>58663</v>
      </c>
      <c r="F61" s="70">
        <v>35656.32</v>
      </c>
      <c r="G61" s="101">
        <f t="shared" si="16"/>
        <v>0.6078161703288274</v>
      </c>
    </row>
    <row r="62" spans="1:7">
      <c r="A62" s="37">
        <v>3241</v>
      </c>
      <c r="B62" s="38" t="s">
        <v>1322</v>
      </c>
      <c r="C62" s="154">
        <v>1420.9</v>
      </c>
      <c r="D62" s="81">
        <f t="shared" si="14"/>
        <v>188.58583847634216</v>
      </c>
      <c r="E62" s="70">
        <v>0</v>
      </c>
      <c r="F62" s="70">
        <v>832.81</v>
      </c>
      <c r="G62" s="101" t="str">
        <f t="shared" si="16"/>
        <v>***</v>
      </c>
    </row>
    <row r="63" spans="1:7">
      <c r="A63" s="37">
        <v>3292</v>
      </c>
      <c r="B63" s="38" t="s">
        <v>1277</v>
      </c>
      <c r="C63" s="154">
        <v>62644.95</v>
      </c>
      <c r="D63" s="81">
        <f t="shared" si="14"/>
        <v>8314.4136969938281</v>
      </c>
      <c r="E63" s="70">
        <v>50272</v>
      </c>
      <c r="F63" s="70">
        <f>19.91+11939.63</f>
        <v>11959.539999999999</v>
      </c>
      <c r="G63" s="101">
        <f t="shared" si="16"/>
        <v>0.23789664226607254</v>
      </c>
    </row>
    <row r="64" spans="1:7">
      <c r="A64" s="37">
        <v>3293</v>
      </c>
      <c r="B64" s="38" t="s">
        <v>1287</v>
      </c>
      <c r="C64" s="154">
        <v>313145.36</v>
      </c>
      <c r="D64" s="81">
        <f t="shared" si="14"/>
        <v>41561.531621209098</v>
      </c>
      <c r="E64" s="70">
        <v>76877</v>
      </c>
      <c r="F64" s="70">
        <v>57204.57</v>
      </c>
      <c r="G64" s="101">
        <f t="shared" si="16"/>
        <v>0.74410512897225434</v>
      </c>
    </row>
    <row r="65" spans="1:7" s="47" customFormat="1">
      <c r="A65" s="37">
        <v>3294</v>
      </c>
      <c r="B65" s="38" t="s">
        <v>1278</v>
      </c>
      <c r="C65" s="154">
        <v>0</v>
      </c>
      <c r="D65" s="81">
        <f t="shared" si="14"/>
        <v>0</v>
      </c>
      <c r="E65" s="70">
        <v>0</v>
      </c>
      <c r="F65" s="70">
        <v>185.78</v>
      </c>
      <c r="G65" s="101" t="str">
        <f t="shared" si="16"/>
        <v>***</v>
      </c>
    </row>
    <row r="66" spans="1:7">
      <c r="A66" s="37">
        <v>3295</v>
      </c>
      <c r="B66" s="38" t="s">
        <v>1279</v>
      </c>
      <c r="C66" s="154">
        <v>20121.29</v>
      </c>
      <c r="D66" s="81">
        <f t="shared" si="14"/>
        <v>2670.5541177251312</v>
      </c>
      <c r="E66" s="70">
        <v>9822</v>
      </c>
      <c r="F66" s="70">
        <v>10605.05</v>
      </c>
      <c r="G66" s="101">
        <f t="shared" si="16"/>
        <v>1.079724088780289</v>
      </c>
    </row>
    <row r="67" spans="1:7">
      <c r="A67" s="37">
        <v>3296</v>
      </c>
      <c r="B67" s="38" t="s">
        <v>1370</v>
      </c>
      <c r="C67" s="154">
        <v>0</v>
      </c>
      <c r="D67" s="81">
        <f t="shared" si="14"/>
        <v>0</v>
      </c>
      <c r="E67" s="70">
        <v>5309</v>
      </c>
      <c r="F67" s="70">
        <v>0</v>
      </c>
      <c r="G67" s="101">
        <f t="shared" si="16"/>
        <v>0</v>
      </c>
    </row>
    <row r="68" spans="1:7">
      <c r="A68" s="37">
        <v>3299</v>
      </c>
      <c r="B68" s="38" t="s">
        <v>1280</v>
      </c>
      <c r="C68" s="154">
        <v>44758.93</v>
      </c>
      <c r="D68" s="81">
        <f t="shared" si="14"/>
        <v>5940.5308912336586</v>
      </c>
      <c r="E68" s="70">
        <v>5309</v>
      </c>
      <c r="F68" s="70">
        <v>9106.0400000000009</v>
      </c>
      <c r="G68" s="101">
        <f t="shared" si="16"/>
        <v>1.7152081371256358</v>
      </c>
    </row>
    <row r="69" spans="1:7">
      <c r="A69" s="37">
        <v>3431</v>
      </c>
      <c r="B69" s="38" t="s">
        <v>1281</v>
      </c>
      <c r="C69" s="154">
        <v>34274.89</v>
      </c>
      <c r="D69" s="81">
        <f t="shared" si="14"/>
        <v>4549.0596589023817</v>
      </c>
      <c r="E69" s="70">
        <v>5973</v>
      </c>
      <c r="F69" s="70">
        <v>5360.66</v>
      </c>
      <c r="G69" s="101">
        <f t="shared" si="16"/>
        <v>0.89748200234388076</v>
      </c>
    </row>
    <row r="70" spans="1:7" ht="15" customHeight="1">
      <c r="A70" s="37">
        <v>3432</v>
      </c>
      <c r="B70" s="50" t="s">
        <v>1288</v>
      </c>
      <c r="C70" s="154">
        <v>4764.79</v>
      </c>
      <c r="D70" s="81">
        <f t="shared" si="14"/>
        <v>632.39631030592602</v>
      </c>
      <c r="E70" s="70">
        <v>663</v>
      </c>
      <c r="F70" s="70">
        <v>352.4</v>
      </c>
      <c r="G70" s="101">
        <f t="shared" si="16"/>
        <v>0.53152337858220211</v>
      </c>
    </row>
    <row r="71" spans="1:7" s="47" customFormat="1">
      <c r="A71" s="37">
        <v>3433</v>
      </c>
      <c r="B71" s="50" t="s">
        <v>1366</v>
      </c>
      <c r="C71" s="154">
        <v>4.0599999999999996</v>
      </c>
      <c r="D71" s="81">
        <f t="shared" si="14"/>
        <v>0.53885460216338166</v>
      </c>
      <c r="E71" s="70">
        <v>40</v>
      </c>
      <c r="F71" s="70">
        <v>0.5</v>
      </c>
      <c r="G71" s="101">
        <f t="shared" si="16"/>
        <v>1.2500000000000001E-2</v>
      </c>
    </row>
    <row r="72" spans="1:7">
      <c r="A72" s="48">
        <v>3721</v>
      </c>
      <c r="B72" s="49" t="s">
        <v>1374</v>
      </c>
      <c r="C72" s="154">
        <v>153329.13</v>
      </c>
      <c r="D72" s="81">
        <f t="shared" si="14"/>
        <v>20350.272745371291</v>
      </c>
      <c r="E72" s="70">
        <v>41144</v>
      </c>
      <c r="F72" s="70">
        <v>29710.66</v>
      </c>
      <c r="G72" s="101">
        <f t="shared" si="16"/>
        <v>0.72211403849893063</v>
      </c>
    </row>
    <row r="73" spans="1:7">
      <c r="A73" s="48">
        <v>3811</v>
      </c>
      <c r="B73" s="49" t="s">
        <v>1293</v>
      </c>
      <c r="C73" s="154">
        <v>2850</v>
      </c>
      <c r="D73" s="81">
        <f t="shared" si="14"/>
        <v>378.26000398168424</v>
      </c>
      <c r="E73" s="70">
        <v>0</v>
      </c>
      <c r="F73" s="70">
        <v>450</v>
      </c>
      <c r="G73" s="101" t="str">
        <f t="shared" ref="G73:G74" si="17">IF(E73&lt;&gt;0,F73/E73,"***")</f>
        <v>***</v>
      </c>
    </row>
    <row r="74" spans="1:7" hidden="1">
      <c r="A74" s="48">
        <v>3821</v>
      </c>
      <c r="B74" s="49" t="s">
        <v>1413</v>
      </c>
      <c r="C74" s="154"/>
      <c r="D74" s="81">
        <f t="shared" si="14"/>
        <v>0</v>
      </c>
      <c r="E74" s="70"/>
      <c r="F74" s="81"/>
      <c r="G74" s="101" t="str">
        <f t="shared" si="17"/>
        <v>***</v>
      </c>
    </row>
    <row r="75" spans="1:7" ht="30" hidden="1">
      <c r="A75" s="48">
        <v>3862</v>
      </c>
      <c r="B75" s="36" t="s">
        <v>1435</v>
      </c>
      <c r="C75" s="154">
        <v>0</v>
      </c>
      <c r="D75" s="81">
        <f t="shared" si="14"/>
        <v>0</v>
      </c>
      <c r="E75" s="70">
        <v>0</v>
      </c>
      <c r="F75" s="81">
        <v>0</v>
      </c>
      <c r="G75" s="125" t="str">
        <f t="shared" ref="G75" si="18">IF(E75&lt;&gt;0,F75/E75,"***")</f>
        <v>***</v>
      </c>
    </row>
    <row r="76" spans="1:7" hidden="1">
      <c r="A76" s="48">
        <v>3911</v>
      </c>
      <c r="B76" s="49" t="s">
        <v>1409</v>
      </c>
      <c r="C76" s="184">
        <v>-40993.910000000003</v>
      </c>
      <c r="D76" s="130">
        <f t="shared" si="14"/>
        <v>-5440.826863096423</v>
      </c>
      <c r="E76" s="70">
        <v>0</v>
      </c>
      <c r="F76" s="130">
        <v>0</v>
      </c>
      <c r="G76" s="101" t="str">
        <f t="shared" ref="G76" si="19">IF(E76&lt;&gt;0,F76/E76,"***")</f>
        <v>***</v>
      </c>
    </row>
    <row r="77" spans="1:7">
      <c r="A77" s="35">
        <v>4</v>
      </c>
      <c r="B77" s="34" t="s">
        <v>1424</v>
      </c>
      <c r="C77" s="183">
        <f>SUM(C78:C84)</f>
        <v>386045.17999999993</v>
      </c>
      <c r="D77" s="98">
        <f>SUM(D78:D84)</f>
        <v>51237.000464529825</v>
      </c>
      <c r="E77" s="98">
        <f>SUM(E78:E84)</f>
        <v>44740</v>
      </c>
      <c r="F77" s="98">
        <f>SUM(F78:F84)</f>
        <v>31363.079999999998</v>
      </c>
      <c r="G77" s="73">
        <f t="shared" si="16"/>
        <v>0.70100759946356728</v>
      </c>
    </row>
    <row r="78" spans="1:7" s="107" customFormat="1" ht="15.75">
      <c r="A78" s="37">
        <v>4123</v>
      </c>
      <c r="B78" s="38" t="s">
        <v>1294</v>
      </c>
      <c r="C78" s="154">
        <v>0</v>
      </c>
      <c r="D78" s="81">
        <f>C78/7.5345</f>
        <v>0</v>
      </c>
      <c r="E78" s="70">
        <v>19523</v>
      </c>
      <c r="F78" s="70">
        <v>917.33</v>
      </c>
      <c r="G78" s="101">
        <f t="shared" si="16"/>
        <v>4.6987143369359219E-2</v>
      </c>
    </row>
    <row r="79" spans="1:7" s="107" customFormat="1" ht="15.75">
      <c r="A79" s="37">
        <v>4124</v>
      </c>
      <c r="B79" s="38" t="s">
        <v>1440</v>
      </c>
      <c r="C79" s="154">
        <v>8105.5</v>
      </c>
      <c r="D79" s="81">
        <f>C79/7.5345</f>
        <v>1075.7847236047514</v>
      </c>
      <c r="E79" s="70">
        <v>0</v>
      </c>
      <c r="F79" s="70">
        <v>6466.42</v>
      </c>
      <c r="G79" s="101" t="str">
        <f t="shared" si="16"/>
        <v>***</v>
      </c>
    </row>
    <row r="80" spans="1:7" s="111" customFormat="1">
      <c r="A80" s="37">
        <v>4221</v>
      </c>
      <c r="B80" s="38" t="s">
        <v>1282</v>
      </c>
      <c r="C80" s="154">
        <v>14807.98</v>
      </c>
      <c r="D80" s="81">
        <f t="shared" ref="D80:D84" si="20">C80/7.5345</f>
        <v>1965.3566925476141</v>
      </c>
      <c r="E80" s="70">
        <v>0</v>
      </c>
      <c r="F80" s="70">
        <v>0</v>
      </c>
      <c r="G80" s="101" t="str">
        <f t="shared" si="16"/>
        <v>***</v>
      </c>
    </row>
    <row r="81" spans="1:7" s="17" customFormat="1" ht="15" customHeight="1">
      <c r="A81" s="37">
        <v>4222</v>
      </c>
      <c r="B81" s="38" t="s">
        <v>1289</v>
      </c>
      <c r="C81" s="154">
        <v>0</v>
      </c>
      <c r="D81" s="81">
        <f t="shared" si="20"/>
        <v>0</v>
      </c>
      <c r="E81" s="70">
        <v>664</v>
      </c>
      <c r="F81" s="70">
        <v>444.99</v>
      </c>
      <c r="G81" s="101">
        <f t="shared" si="16"/>
        <v>0.6701656626506024</v>
      </c>
    </row>
    <row r="82" spans="1:7" s="17" customFormat="1" ht="15" hidden="1" customHeight="1">
      <c r="A82" s="37">
        <v>4223</v>
      </c>
      <c r="B82" s="38" t="s">
        <v>1295</v>
      </c>
      <c r="C82" s="154"/>
      <c r="D82" s="81">
        <f t="shared" si="20"/>
        <v>0</v>
      </c>
      <c r="E82" s="70"/>
      <c r="F82" s="70"/>
      <c r="G82" s="101" t="str">
        <f t="shared" si="16"/>
        <v>***</v>
      </c>
    </row>
    <row r="83" spans="1:7" s="17" customFormat="1" ht="15" customHeight="1">
      <c r="A83" s="37">
        <v>4227</v>
      </c>
      <c r="B83" s="38" t="s">
        <v>1283</v>
      </c>
      <c r="C83" s="154">
        <v>359311.79</v>
      </c>
      <c r="D83" s="81">
        <f t="shared" si="20"/>
        <v>47688.869865286346</v>
      </c>
      <c r="E83" s="70">
        <v>21899</v>
      </c>
      <c r="F83" s="70">
        <v>18766.86</v>
      </c>
      <c r="G83" s="101">
        <f t="shared" si="16"/>
        <v>0.85697337777980731</v>
      </c>
    </row>
    <row r="84" spans="1:7" s="17" customFormat="1" ht="15" customHeight="1">
      <c r="A84" s="39">
        <v>4241</v>
      </c>
      <c r="B84" s="40" t="s">
        <v>1321</v>
      </c>
      <c r="C84" s="154">
        <v>3819.91</v>
      </c>
      <c r="D84" s="81">
        <f t="shared" si="20"/>
        <v>506.98918309111417</v>
      </c>
      <c r="E84" s="70">
        <v>2654</v>
      </c>
      <c r="F84" s="70">
        <v>4767.4799999999996</v>
      </c>
      <c r="G84" s="101">
        <f t="shared" si="16"/>
        <v>1.7963376036171814</v>
      </c>
    </row>
    <row r="85" spans="1:7" s="17" customFormat="1" ht="40.5" customHeight="1">
      <c r="A85" s="219" t="s">
        <v>1510</v>
      </c>
      <c r="B85" s="220"/>
      <c r="C85" s="186">
        <f>C86+C109</f>
        <v>3691780.45</v>
      </c>
      <c r="D85" s="106">
        <f>D86+D109</f>
        <v>489983.46937421191</v>
      </c>
      <c r="E85" s="106">
        <f t="shared" ref="E85:F85" si="21">E86+E109</f>
        <v>1273427</v>
      </c>
      <c r="F85" s="106">
        <f t="shared" si="21"/>
        <v>483967.38</v>
      </c>
      <c r="G85" s="104">
        <f t="shared" si="16"/>
        <v>0.38005113759956399</v>
      </c>
    </row>
    <row r="86" spans="1:7" s="17" customFormat="1" ht="15" customHeight="1">
      <c r="A86" s="52">
        <v>3</v>
      </c>
      <c r="B86" s="34" t="s">
        <v>1297</v>
      </c>
      <c r="C86" s="183">
        <f>SUM(C87:C108)</f>
        <v>3402996.8000000003</v>
      </c>
      <c r="D86" s="98">
        <f>SUM(D87:D108)</f>
        <v>451655.29232198547</v>
      </c>
      <c r="E86" s="98">
        <f t="shared" ref="E86:F86" si="22">SUM(E87:E108)</f>
        <v>1166045</v>
      </c>
      <c r="F86" s="98">
        <f t="shared" si="22"/>
        <v>458563.76</v>
      </c>
      <c r="G86" s="73">
        <f t="shared" si="16"/>
        <v>0.39326420506927262</v>
      </c>
    </row>
    <row r="87" spans="1:7" s="17" customFormat="1" ht="38.25">
      <c r="A87" s="43">
        <v>3111</v>
      </c>
      <c r="B87" s="133" t="s">
        <v>1438</v>
      </c>
      <c r="C87" s="154">
        <v>0</v>
      </c>
      <c r="D87" s="81">
        <f>C87/7.5345</f>
        <v>0</v>
      </c>
      <c r="E87" s="81">
        <v>0</v>
      </c>
      <c r="F87" s="81">
        <v>0</v>
      </c>
      <c r="G87" s="125" t="str">
        <f t="shared" si="16"/>
        <v>***</v>
      </c>
    </row>
    <row r="88" spans="1:7" s="17" customFormat="1" ht="15" customHeight="1">
      <c r="A88" s="43">
        <v>3113</v>
      </c>
      <c r="B88" s="42" t="s">
        <v>1439</v>
      </c>
      <c r="C88" s="154">
        <v>0</v>
      </c>
      <c r="D88" s="81">
        <f t="shared" ref="D88:D108" si="23">C88/7.5345</f>
        <v>0</v>
      </c>
      <c r="E88" s="81">
        <v>266224</v>
      </c>
      <c r="F88" s="81">
        <v>0</v>
      </c>
      <c r="G88" s="101">
        <f t="shared" ref="G88" si="24">IF(E88&lt;&gt;0,F88/E88,"***")</f>
        <v>0</v>
      </c>
    </row>
    <row r="89" spans="1:7" s="17" customFormat="1" ht="15" customHeight="1">
      <c r="A89" s="43">
        <v>3132</v>
      </c>
      <c r="B89" s="42" t="s">
        <v>1325</v>
      </c>
      <c r="C89" s="154">
        <v>0</v>
      </c>
      <c r="D89" s="81">
        <f t="shared" si="23"/>
        <v>0</v>
      </c>
      <c r="E89" s="81">
        <v>43972</v>
      </c>
      <c r="F89" s="81">
        <v>0</v>
      </c>
      <c r="G89" s="101">
        <f t="shared" ref="G89:G150" si="25">IF(E89&lt;&gt;0,F89/E89,"***")</f>
        <v>0</v>
      </c>
    </row>
    <row r="90" spans="1:7" s="17" customFormat="1" ht="15" customHeight="1">
      <c r="A90" s="43">
        <v>3211</v>
      </c>
      <c r="B90" s="38" t="s">
        <v>1261</v>
      </c>
      <c r="C90" s="154">
        <v>176230.5</v>
      </c>
      <c r="D90" s="81">
        <f t="shared" si="23"/>
        <v>23389.806888313757</v>
      </c>
      <c r="E90" s="81">
        <v>57071</v>
      </c>
      <c r="F90" s="81">
        <v>30738.31</v>
      </c>
      <c r="G90" s="101">
        <f t="shared" ref="G90" si="26">IF(E90&lt;&gt;0,F90/E90,"***")</f>
        <v>0.53859771162236514</v>
      </c>
    </row>
    <row r="91" spans="1:7" s="17" customFormat="1" ht="15" customHeight="1">
      <c r="A91" s="43">
        <v>3213</v>
      </c>
      <c r="B91" s="42" t="s">
        <v>1263</v>
      </c>
      <c r="C91" s="154">
        <v>267223.64</v>
      </c>
      <c r="D91" s="81">
        <f t="shared" si="23"/>
        <v>35466.671975579004</v>
      </c>
      <c r="E91" s="81">
        <v>46453</v>
      </c>
      <c r="F91" s="81">
        <v>25497.31</v>
      </c>
      <c r="G91" s="101">
        <f t="shared" si="25"/>
        <v>0.54888403332400493</v>
      </c>
    </row>
    <row r="92" spans="1:7" s="17" customFormat="1" ht="15" customHeight="1">
      <c r="A92" s="43">
        <v>3221</v>
      </c>
      <c r="B92" s="42" t="s">
        <v>1264</v>
      </c>
      <c r="C92" s="154">
        <v>206119.82</v>
      </c>
      <c r="D92" s="81">
        <f t="shared" si="23"/>
        <v>27356.801380317207</v>
      </c>
      <c r="E92" s="81">
        <v>47780</v>
      </c>
      <c r="F92" s="81">
        <v>16947.419999999998</v>
      </c>
      <c r="G92" s="101">
        <f t="shared" ref="G92:G95" si="27">IF(E92&lt;&gt;0,F92/E92,"***")</f>
        <v>0.35469694432817073</v>
      </c>
    </row>
    <row r="93" spans="1:7" s="17" customFormat="1" ht="15" customHeight="1">
      <c r="A93" s="43">
        <v>3225</v>
      </c>
      <c r="B93" s="50" t="s">
        <v>1406</v>
      </c>
      <c r="C93" s="154">
        <v>14332.41</v>
      </c>
      <c r="D93" s="81">
        <f t="shared" si="23"/>
        <v>1902.2377065498704</v>
      </c>
      <c r="E93" s="81">
        <v>9291</v>
      </c>
      <c r="F93" s="81">
        <v>6070.12</v>
      </c>
      <c r="G93" s="101">
        <f t="shared" ref="G93" si="28">IF(E93&lt;&gt;0,F93/E93,"***")</f>
        <v>0.65333333333333332</v>
      </c>
    </row>
    <row r="94" spans="1:7" s="17" customFormat="1" ht="15" customHeight="1">
      <c r="A94" s="43">
        <v>3231</v>
      </c>
      <c r="B94" s="38" t="s">
        <v>1268</v>
      </c>
      <c r="C94" s="154">
        <v>92647.5</v>
      </c>
      <c r="D94" s="81">
        <f t="shared" si="23"/>
        <v>12296.436392594067</v>
      </c>
      <c r="E94" s="81">
        <v>19908</v>
      </c>
      <c r="F94" s="81">
        <v>8865.8700000000008</v>
      </c>
      <c r="G94" s="101">
        <f t="shared" si="27"/>
        <v>0.4453420735382761</v>
      </c>
    </row>
    <row r="95" spans="1:7" s="17" customFormat="1" ht="15" hidden="1" customHeight="1">
      <c r="A95" s="43">
        <v>3232</v>
      </c>
      <c r="B95" s="38" t="s">
        <v>1269</v>
      </c>
      <c r="C95" s="154">
        <v>0</v>
      </c>
      <c r="D95" s="81">
        <f>C95/7.5345</f>
        <v>0</v>
      </c>
      <c r="E95" s="81">
        <v>0</v>
      </c>
      <c r="F95" s="81">
        <v>0</v>
      </c>
      <c r="G95" s="101" t="str">
        <f t="shared" si="27"/>
        <v>***</v>
      </c>
    </row>
    <row r="96" spans="1:7" s="17" customFormat="1" ht="15" customHeight="1">
      <c r="A96" s="43">
        <v>3233</v>
      </c>
      <c r="B96" s="42" t="s">
        <v>1270</v>
      </c>
      <c r="C96" s="154">
        <v>126494.5</v>
      </c>
      <c r="D96" s="81">
        <f t="shared" si="23"/>
        <v>16788.705289003916</v>
      </c>
      <c r="E96" s="81">
        <v>34508</v>
      </c>
      <c r="F96" s="81">
        <v>7239.53</v>
      </c>
      <c r="G96" s="101">
        <f t="shared" si="25"/>
        <v>0.20979280166917816</v>
      </c>
    </row>
    <row r="97" spans="1:7" s="17" customFormat="1" ht="15" customHeight="1">
      <c r="A97" s="43">
        <v>3235</v>
      </c>
      <c r="B97" s="38" t="s">
        <v>1272</v>
      </c>
      <c r="C97" s="154">
        <v>74211.740000000005</v>
      </c>
      <c r="D97" s="81">
        <f t="shared" si="23"/>
        <v>9849.5905501360412</v>
      </c>
      <c r="E97" s="81">
        <v>14600</v>
      </c>
      <c r="F97" s="81">
        <v>448.5</v>
      </c>
      <c r="G97" s="101">
        <f t="shared" ref="G97" si="29">IF(E97&lt;&gt;0,F97/E97,"***")</f>
        <v>3.0719178082191781E-2</v>
      </c>
    </row>
    <row r="98" spans="1:7" s="17" customFormat="1" ht="15" customHeight="1">
      <c r="A98" s="43">
        <v>3237</v>
      </c>
      <c r="B98" s="42" t="s">
        <v>1274</v>
      </c>
      <c r="C98" s="154">
        <v>1925154.53</v>
      </c>
      <c r="D98" s="81">
        <f t="shared" si="23"/>
        <v>255511.91585373945</v>
      </c>
      <c r="E98" s="81">
        <f>402285+25138</f>
        <v>427423</v>
      </c>
      <c r="F98" s="81">
        <v>273433.11</v>
      </c>
      <c r="G98" s="101">
        <f t="shared" si="25"/>
        <v>0.63972483932778534</v>
      </c>
    </row>
    <row r="99" spans="1:7" s="17" customFormat="1" ht="15" customHeight="1">
      <c r="A99" s="43">
        <v>3238</v>
      </c>
      <c r="B99" s="38" t="s">
        <v>1275</v>
      </c>
      <c r="C99" s="154">
        <v>900</v>
      </c>
      <c r="D99" s="81">
        <f t="shared" si="23"/>
        <v>119.45052757316344</v>
      </c>
      <c r="E99" s="81">
        <v>0</v>
      </c>
      <c r="F99" s="81">
        <v>1335.52</v>
      </c>
      <c r="G99" s="101" t="str">
        <f t="shared" ref="G99" si="30">IF(E99&lt;&gt;0,F99/E99,"***")</f>
        <v>***</v>
      </c>
    </row>
    <row r="100" spans="1:7" s="17" customFormat="1" ht="15" customHeight="1">
      <c r="A100" s="43">
        <v>3239</v>
      </c>
      <c r="B100" s="42" t="s">
        <v>1276</v>
      </c>
      <c r="C100" s="154">
        <v>205114.87</v>
      </c>
      <c r="D100" s="81">
        <f t="shared" si="23"/>
        <v>27223.421594000927</v>
      </c>
      <c r="E100" s="81">
        <v>46453</v>
      </c>
      <c r="F100" s="81">
        <v>22805.89</v>
      </c>
      <c r="G100" s="101">
        <f t="shared" si="25"/>
        <v>0.49094547176716252</v>
      </c>
    </row>
    <row r="101" spans="1:7" s="111" customFormat="1" ht="15" customHeight="1">
      <c r="A101" s="43">
        <v>3241</v>
      </c>
      <c r="B101" s="42" t="s">
        <v>1322</v>
      </c>
      <c r="C101" s="154">
        <v>220138.96</v>
      </c>
      <c r="D101" s="81">
        <f t="shared" si="23"/>
        <v>29217.461012675027</v>
      </c>
      <c r="E101" s="81">
        <v>69016</v>
      </c>
      <c r="F101" s="81">
        <v>60134.57</v>
      </c>
      <c r="G101" s="101">
        <f t="shared" si="25"/>
        <v>0.87131346354468531</v>
      </c>
    </row>
    <row r="102" spans="1:7" s="17" customFormat="1" ht="15" customHeight="1">
      <c r="A102" s="43">
        <v>3292</v>
      </c>
      <c r="B102" s="42" t="s">
        <v>1277</v>
      </c>
      <c r="C102" s="154">
        <v>13500</v>
      </c>
      <c r="D102" s="81">
        <f t="shared" si="23"/>
        <v>1791.7579135974515</v>
      </c>
      <c r="E102" s="81">
        <v>5309</v>
      </c>
      <c r="F102" s="81">
        <v>242.07</v>
      </c>
      <c r="G102" s="101">
        <f t="shared" si="25"/>
        <v>4.5596157468449798E-2</v>
      </c>
    </row>
    <row r="103" spans="1:7" s="17" customFormat="1" ht="15" customHeight="1">
      <c r="A103" s="43">
        <v>3293</v>
      </c>
      <c r="B103" s="42" t="s">
        <v>1287</v>
      </c>
      <c r="C103" s="154">
        <v>5160</v>
      </c>
      <c r="D103" s="81">
        <f t="shared" si="23"/>
        <v>684.84969141947045</v>
      </c>
      <c r="E103" s="81">
        <v>664</v>
      </c>
      <c r="F103" s="81">
        <v>0</v>
      </c>
      <c r="G103" s="101">
        <f t="shared" ref="G103" si="31">IF(E103&lt;&gt;0,F103/E103,"***")</f>
        <v>0</v>
      </c>
    </row>
    <row r="104" spans="1:7" s="17" customFormat="1" ht="15" customHeight="1">
      <c r="A104" s="43">
        <v>3294</v>
      </c>
      <c r="B104" s="38" t="s">
        <v>1278</v>
      </c>
      <c r="C104" s="154">
        <v>42476.33</v>
      </c>
      <c r="D104" s="81">
        <f t="shared" si="23"/>
        <v>5637.5778087464332</v>
      </c>
      <c r="E104" s="81">
        <v>13272</v>
      </c>
      <c r="F104" s="81">
        <v>4805.54</v>
      </c>
      <c r="G104" s="101">
        <f t="shared" ref="G104:G105" si="32">IF(E104&lt;&gt;0,F104/E104,"***")</f>
        <v>0.36208107293550329</v>
      </c>
    </row>
    <row r="105" spans="1:7" s="17" customFormat="1" ht="15" customHeight="1">
      <c r="A105" s="43">
        <v>3295</v>
      </c>
      <c r="B105" s="38" t="s">
        <v>1279</v>
      </c>
      <c r="C105" s="154">
        <v>42</v>
      </c>
      <c r="D105" s="81">
        <f t="shared" si="23"/>
        <v>5.5743579534142942</v>
      </c>
      <c r="E105" s="81">
        <v>0</v>
      </c>
      <c r="F105" s="81">
        <v>0</v>
      </c>
      <c r="G105" s="101" t="str">
        <f t="shared" si="32"/>
        <v>***</v>
      </c>
    </row>
    <row r="106" spans="1:7" s="17" customFormat="1" ht="15" customHeight="1">
      <c r="A106" s="43">
        <v>3299</v>
      </c>
      <c r="B106" s="38" t="s">
        <v>1280</v>
      </c>
      <c r="C106" s="154">
        <v>250</v>
      </c>
      <c r="D106" s="81">
        <f t="shared" si="23"/>
        <v>33.180702103656515</v>
      </c>
      <c r="E106" s="81">
        <v>0</v>
      </c>
      <c r="F106" s="81">
        <v>0</v>
      </c>
      <c r="G106" s="101" t="str">
        <f t="shared" ref="G106" si="33">IF(E106&lt;&gt;0,F106/E106,"***")</f>
        <v>***</v>
      </c>
    </row>
    <row r="107" spans="1:7" s="17" customFormat="1" ht="15" customHeight="1">
      <c r="A107" s="43">
        <v>3721</v>
      </c>
      <c r="B107" s="42" t="s">
        <v>1374</v>
      </c>
      <c r="C107" s="154">
        <v>33000</v>
      </c>
      <c r="D107" s="81">
        <f t="shared" si="23"/>
        <v>4379.8526776826593</v>
      </c>
      <c r="E107" s="81">
        <v>36707</v>
      </c>
      <c r="F107" s="81">
        <v>0</v>
      </c>
      <c r="G107" s="101">
        <f t="shared" ref="G107:G108" si="34">IF(E107&lt;&gt;0,F107/E107,"***")</f>
        <v>0</v>
      </c>
    </row>
    <row r="108" spans="1:7" s="105" customFormat="1" ht="15.75" customHeight="1">
      <c r="A108" s="43">
        <v>3811</v>
      </c>
      <c r="B108" s="42" t="s">
        <v>1293</v>
      </c>
      <c r="C108" s="154">
        <v>0</v>
      </c>
      <c r="D108" s="81">
        <f t="shared" si="23"/>
        <v>0</v>
      </c>
      <c r="E108" s="81">
        <v>27394</v>
      </c>
      <c r="F108" s="81">
        <v>0</v>
      </c>
      <c r="G108" s="101">
        <f t="shared" si="34"/>
        <v>0</v>
      </c>
    </row>
    <row r="109" spans="1:7" s="47" customFormat="1">
      <c r="A109" s="52">
        <v>4</v>
      </c>
      <c r="B109" s="34" t="s">
        <v>1424</v>
      </c>
      <c r="C109" s="183">
        <f>SUM(C110:C114)</f>
        <v>288783.65000000002</v>
      </c>
      <c r="D109" s="98">
        <f>SUM(D110:D114)</f>
        <v>38328.177052226427</v>
      </c>
      <c r="E109" s="98">
        <f t="shared" ref="E109:F109" si="35">SUM(E110:E114)</f>
        <v>107382</v>
      </c>
      <c r="F109" s="98">
        <f t="shared" si="35"/>
        <v>25403.620000000003</v>
      </c>
      <c r="G109" s="73">
        <f t="shared" si="25"/>
        <v>0.2365724236836714</v>
      </c>
    </row>
    <row r="110" spans="1:7">
      <c r="A110" s="43">
        <v>4123</v>
      </c>
      <c r="B110" s="49" t="s">
        <v>1294</v>
      </c>
      <c r="C110" s="154">
        <v>162713.5</v>
      </c>
      <c r="D110" s="81">
        <f>C110/7.5345</f>
        <v>21595.792686973255</v>
      </c>
      <c r="E110" s="81">
        <v>33566</v>
      </c>
      <c r="F110" s="81">
        <v>7307.63</v>
      </c>
      <c r="G110" s="101">
        <f t="shared" ref="G110:G111" si="36">IF(E110&lt;&gt;0,F110/E110,"***")</f>
        <v>0.21770928916165166</v>
      </c>
    </row>
    <row r="111" spans="1:7">
      <c r="A111" s="43">
        <v>4124</v>
      </c>
      <c r="B111" s="49" t="s">
        <v>1440</v>
      </c>
      <c r="C111" s="154">
        <v>0</v>
      </c>
      <c r="D111" s="81">
        <f t="shared" ref="D111:D114" si="37">C111/7.5345</f>
        <v>0</v>
      </c>
      <c r="E111" s="81">
        <v>25603</v>
      </c>
      <c r="F111" s="81">
        <v>0</v>
      </c>
      <c r="G111" s="101">
        <f t="shared" si="36"/>
        <v>0</v>
      </c>
    </row>
    <row r="112" spans="1:7" hidden="1">
      <c r="A112" s="43">
        <v>4221</v>
      </c>
      <c r="B112" s="49" t="s">
        <v>1282</v>
      </c>
      <c r="C112" s="154">
        <v>0</v>
      </c>
      <c r="D112" s="81">
        <f t="shared" si="37"/>
        <v>0</v>
      </c>
      <c r="E112" s="81">
        <v>0</v>
      </c>
      <c r="F112" s="81">
        <v>0</v>
      </c>
      <c r="G112" s="101" t="str">
        <f t="shared" si="25"/>
        <v>***</v>
      </c>
    </row>
    <row r="113" spans="1:7">
      <c r="A113" s="43">
        <v>4227</v>
      </c>
      <c r="B113" s="38" t="s">
        <v>1283</v>
      </c>
      <c r="C113" s="154">
        <v>67877.64</v>
      </c>
      <c r="D113" s="81">
        <f t="shared" si="37"/>
        <v>9008.9110093569579</v>
      </c>
      <c r="E113" s="81">
        <v>21453</v>
      </c>
      <c r="F113" s="81">
        <v>16257.36</v>
      </c>
      <c r="G113" s="101">
        <f t="shared" ref="G113" si="38">IF(E113&lt;&gt;0,F113/E113,"***")</f>
        <v>0.75781289330163615</v>
      </c>
    </row>
    <row r="114" spans="1:7">
      <c r="A114" s="43">
        <v>4241</v>
      </c>
      <c r="B114" s="41" t="s">
        <v>1321</v>
      </c>
      <c r="C114" s="154">
        <v>58192.51</v>
      </c>
      <c r="D114" s="81">
        <f t="shared" si="37"/>
        <v>7723.4733558962107</v>
      </c>
      <c r="E114" s="81">
        <v>26760</v>
      </c>
      <c r="F114" s="81">
        <v>1838.63</v>
      </c>
      <c r="G114" s="101">
        <f t="shared" si="25"/>
        <v>6.870814648729448E-2</v>
      </c>
    </row>
    <row r="115" spans="1:7" ht="45" customHeight="1">
      <c r="A115" s="219" t="s">
        <v>1511</v>
      </c>
      <c r="B115" s="220"/>
      <c r="C115" s="182">
        <f>C116+C137</f>
        <v>1464461.2200000002</v>
      </c>
      <c r="D115" s="103">
        <f>D116+D137</f>
        <v>194367.40593270952</v>
      </c>
      <c r="E115" s="103">
        <f t="shared" ref="E115:F115" si="39">E116+E137</f>
        <v>1077069</v>
      </c>
      <c r="F115" s="103">
        <f t="shared" si="39"/>
        <v>115237.73</v>
      </c>
      <c r="G115" s="104">
        <f t="shared" si="25"/>
        <v>0.10699196616001388</v>
      </c>
    </row>
    <row r="116" spans="1:7">
      <c r="A116" s="35">
        <v>3</v>
      </c>
      <c r="B116" s="34" t="s">
        <v>1297</v>
      </c>
      <c r="C116" s="183">
        <f>SUM(C117:C136)</f>
        <v>1464461.2200000002</v>
      </c>
      <c r="D116" s="98">
        <f>SUM(D117:D136)</f>
        <v>194367.40593270952</v>
      </c>
      <c r="E116" s="98">
        <f t="shared" ref="E116" si="40">SUM(E117:E136)</f>
        <v>1077069</v>
      </c>
      <c r="F116" s="98">
        <f>SUM(F117:F136)</f>
        <v>115237.73</v>
      </c>
      <c r="G116" s="73">
        <f t="shared" si="25"/>
        <v>0.10699196616001388</v>
      </c>
    </row>
    <row r="117" spans="1:7">
      <c r="A117" s="48">
        <v>3111</v>
      </c>
      <c r="B117" s="42" t="s">
        <v>1359</v>
      </c>
      <c r="C117" s="154">
        <v>94243.6</v>
      </c>
      <c r="D117" s="81">
        <f>C117/7.5345</f>
        <v>12508.275267104653</v>
      </c>
      <c r="E117" s="81">
        <v>272389</v>
      </c>
      <c r="F117" s="81">
        <f>3844.22+596.14+1222.66</f>
        <v>5663.0199999999995</v>
      </c>
      <c r="G117" s="101">
        <f t="shared" si="25"/>
        <v>2.0790193436592518E-2</v>
      </c>
    </row>
    <row r="118" spans="1:7">
      <c r="A118" s="48">
        <v>3121</v>
      </c>
      <c r="B118" s="42" t="s">
        <v>1286</v>
      </c>
      <c r="C118" s="154">
        <v>4999.96</v>
      </c>
      <c r="D118" s="81">
        <f t="shared" ref="D118:D136" si="41">C118/7.5345</f>
        <v>663.60873316079369</v>
      </c>
      <c r="E118" s="81">
        <v>0</v>
      </c>
      <c r="F118" s="81">
        <v>1158.5</v>
      </c>
      <c r="G118" s="101" t="str">
        <f t="shared" ref="G118:G135" si="42">IF(E118&lt;&gt;0,F118/E118,"***")</f>
        <v>***</v>
      </c>
    </row>
    <row r="119" spans="1:7">
      <c r="A119" s="48">
        <v>3132</v>
      </c>
      <c r="B119" s="42" t="s">
        <v>1325</v>
      </c>
      <c r="C119" s="154">
        <v>16224.38</v>
      </c>
      <c r="D119" s="81">
        <f t="shared" si="41"/>
        <v>2153.3452783860903</v>
      </c>
      <c r="E119" s="81">
        <v>44842</v>
      </c>
      <c r="F119" s="81">
        <v>1008.67</v>
      </c>
      <c r="G119" s="101">
        <f t="shared" si="42"/>
        <v>2.2493867356496142E-2</v>
      </c>
    </row>
    <row r="120" spans="1:7">
      <c r="A120" s="48">
        <v>3211</v>
      </c>
      <c r="B120" s="42" t="s">
        <v>1261</v>
      </c>
      <c r="C120" s="154">
        <v>582310.62</v>
      </c>
      <c r="D120" s="81">
        <f t="shared" si="41"/>
        <v>77285.900856062115</v>
      </c>
      <c r="E120" s="81">
        <v>60415</v>
      </c>
      <c r="F120" s="81">
        <v>51773.83</v>
      </c>
      <c r="G120" s="101">
        <f t="shared" si="42"/>
        <v>0.85696979227013159</v>
      </c>
    </row>
    <row r="121" spans="1:7">
      <c r="A121" s="48">
        <v>3212</v>
      </c>
      <c r="B121" s="42" t="s">
        <v>1262</v>
      </c>
      <c r="C121" s="154">
        <v>9861.98</v>
      </c>
      <c r="D121" s="81">
        <f t="shared" si="41"/>
        <v>1308.9096821288738</v>
      </c>
      <c r="E121" s="81">
        <v>0</v>
      </c>
      <c r="F121" s="81">
        <v>1695.31</v>
      </c>
      <c r="G121" s="101" t="str">
        <f t="shared" si="42"/>
        <v>***</v>
      </c>
    </row>
    <row r="122" spans="1:7">
      <c r="A122" s="48">
        <v>3213</v>
      </c>
      <c r="B122" s="42" t="s">
        <v>1263</v>
      </c>
      <c r="C122" s="154">
        <v>13000</v>
      </c>
      <c r="D122" s="81">
        <f t="shared" si="41"/>
        <v>1725.3965093901386</v>
      </c>
      <c r="E122" s="81">
        <v>4000</v>
      </c>
      <c r="F122" s="81">
        <v>900</v>
      </c>
      <c r="G122" s="101">
        <f t="shared" si="42"/>
        <v>0.22500000000000001</v>
      </c>
    </row>
    <row r="123" spans="1:7" hidden="1">
      <c r="A123" s="48">
        <v>3221</v>
      </c>
      <c r="B123" s="38" t="s">
        <v>1264</v>
      </c>
      <c r="C123" s="154">
        <v>0</v>
      </c>
      <c r="D123" s="81">
        <f t="shared" si="41"/>
        <v>0</v>
      </c>
      <c r="E123" s="81">
        <v>0</v>
      </c>
      <c r="F123" s="81">
        <v>0</v>
      </c>
      <c r="G123" s="101" t="str">
        <f t="shared" ref="G123" si="43">IF(E123&lt;&gt;0,F123/E123,"***")</f>
        <v>***</v>
      </c>
    </row>
    <row r="124" spans="1:7" hidden="1">
      <c r="A124" s="48">
        <v>3225</v>
      </c>
      <c r="B124" s="50" t="s">
        <v>1406</v>
      </c>
      <c r="C124" s="154">
        <v>0</v>
      </c>
      <c r="D124" s="81">
        <f t="shared" si="41"/>
        <v>0</v>
      </c>
      <c r="E124" s="81">
        <v>0</v>
      </c>
      <c r="F124" s="81">
        <v>0</v>
      </c>
      <c r="G124" s="101" t="str">
        <f t="shared" ref="G124:G125" si="44">IF(E124&lt;&gt;0,F124/E124,"***")</f>
        <v>***</v>
      </c>
    </row>
    <row r="125" spans="1:7">
      <c r="A125" s="48">
        <v>3231</v>
      </c>
      <c r="B125" s="50" t="s">
        <v>1268</v>
      </c>
      <c r="C125" s="154">
        <v>0</v>
      </c>
      <c r="D125" s="81">
        <f>C125/7.5345</f>
        <v>0</v>
      </c>
      <c r="E125" s="81">
        <v>0</v>
      </c>
      <c r="F125" s="81">
        <v>100</v>
      </c>
      <c r="G125" s="101" t="str">
        <f t="shared" si="44"/>
        <v>***</v>
      </c>
    </row>
    <row r="126" spans="1:7">
      <c r="A126" s="48">
        <v>3233</v>
      </c>
      <c r="B126" s="42" t="s">
        <v>1270</v>
      </c>
      <c r="C126" s="154">
        <v>0</v>
      </c>
      <c r="D126" s="81">
        <f t="shared" si="41"/>
        <v>0</v>
      </c>
      <c r="E126" s="81">
        <v>0</v>
      </c>
      <c r="F126" s="81">
        <v>1235.83</v>
      </c>
      <c r="G126" s="101" t="str">
        <f t="shared" si="42"/>
        <v>***</v>
      </c>
    </row>
    <row r="127" spans="1:7">
      <c r="A127" s="48">
        <v>3235</v>
      </c>
      <c r="B127" s="42" t="s">
        <v>1272</v>
      </c>
      <c r="C127" s="154">
        <v>0</v>
      </c>
      <c r="D127" s="81">
        <f>C127/7.5345</f>
        <v>0</v>
      </c>
      <c r="E127" s="81">
        <v>0</v>
      </c>
      <c r="F127" s="81">
        <v>305.31</v>
      </c>
      <c r="G127" s="101" t="str">
        <f t="shared" si="42"/>
        <v>***</v>
      </c>
    </row>
    <row r="128" spans="1:7">
      <c r="A128" s="48">
        <v>3237</v>
      </c>
      <c r="B128" s="42" t="s">
        <v>1274</v>
      </c>
      <c r="C128" s="154">
        <v>34049.040000000001</v>
      </c>
      <c r="D128" s="81">
        <f t="shared" si="41"/>
        <v>4519.0842126219386</v>
      </c>
      <c r="E128" s="81">
        <v>490329</v>
      </c>
      <c r="F128" s="81">
        <v>4329.9799999999996</v>
      </c>
      <c r="G128" s="101">
        <f t="shared" si="42"/>
        <v>8.8307646498575441E-3</v>
      </c>
    </row>
    <row r="129" spans="1:7" hidden="1">
      <c r="A129" s="48">
        <v>3238</v>
      </c>
      <c r="B129" s="42" t="s">
        <v>1275</v>
      </c>
      <c r="C129" s="154">
        <v>0</v>
      </c>
      <c r="D129" s="81">
        <f t="shared" si="41"/>
        <v>0</v>
      </c>
      <c r="E129" s="81">
        <v>0</v>
      </c>
      <c r="F129" s="81">
        <v>0</v>
      </c>
      <c r="G129" s="101" t="str">
        <f t="shared" si="42"/>
        <v>***</v>
      </c>
    </row>
    <row r="130" spans="1:7" s="47" customFormat="1" hidden="1">
      <c r="A130" s="48">
        <v>3239</v>
      </c>
      <c r="B130" s="42" t="s">
        <v>1276</v>
      </c>
      <c r="C130" s="154">
        <v>0</v>
      </c>
      <c r="D130" s="81">
        <f t="shared" si="41"/>
        <v>0</v>
      </c>
      <c r="E130" s="81">
        <v>0</v>
      </c>
      <c r="F130" s="81">
        <v>0</v>
      </c>
      <c r="G130" s="101" t="str">
        <f t="shared" si="42"/>
        <v>***</v>
      </c>
    </row>
    <row r="131" spans="1:7" s="115" customFormat="1">
      <c r="A131" s="48">
        <v>3241</v>
      </c>
      <c r="B131" s="42" t="s">
        <v>1322</v>
      </c>
      <c r="C131" s="154">
        <v>701414.91</v>
      </c>
      <c r="D131" s="81">
        <f t="shared" si="41"/>
        <v>93093.756719092169</v>
      </c>
      <c r="E131" s="81">
        <v>204594</v>
      </c>
      <c r="F131" s="81">
        <v>42720.75</v>
      </c>
      <c r="G131" s="101">
        <f t="shared" si="42"/>
        <v>0.20880744303352006</v>
      </c>
    </row>
    <row r="132" spans="1:7" s="115" customFormat="1">
      <c r="A132" s="48">
        <v>3292</v>
      </c>
      <c r="B132" s="42" t="s">
        <v>1277</v>
      </c>
      <c r="C132" s="154">
        <v>8127.73</v>
      </c>
      <c r="D132" s="81">
        <f t="shared" si="41"/>
        <v>1078.7351516358085</v>
      </c>
      <c r="E132" s="81">
        <v>0</v>
      </c>
      <c r="F132" s="81">
        <v>349.89</v>
      </c>
      <c r="G132" s="101" t="str">
        <f t="shared" si="42"/>
        <v>***</v>
      </c>
    </row>
    <row r="133" spans="1:7">
      <c r="A133" s="48">
        <v>3293</v>
      </c>
      <c r="B133" s="42" t="s">
        <v>1287</v>
      </c>
      <c r="C133" s="154">
        <v>229</v>
      </c>
      <c r="D133" s="81">
        <f t="shared" si="41"/>
        <v>30.393523126949365</v>
      </c>
      <c r="E133" s="81">
        <v>500</v>
      </c>
      <c r="F133" s="81">
        <v>3996.64</v>
      </c>
      <c r="G133" s="101">
        <f t="shared" si="42"/>
        <v>7.9932799999999995</v>
      </c>
    </row>
    <row r="134" spans="1:7" s="105" customFormat="1" ht="15.75" hidden="1">
      <c r="A134" s="48">
        <v>3295</v>
      </c>
      <c r="B134" s="42" t="s">
        <v>1279</v>
      </c>
      <c r="C134" s="154">
        <v>0</v>
      </c>
      <c r="D134" s="81">
        <f t="shared" si="41"/>
        <v>0</v>
      </c>
      <c r="E134" s="81">
        <v>0</v>
      </c>
      <c r="F134" s="81">
        <v>0</v>
      </c>
      <c r="G134" s="101" t="str">
        <f t="shared" si="42"/>
        <v>***</v>
      </c>
    </row>
    <row r="135" spans="1:7" s="47" customFormat="1" hidden="1">
      <c r="A135" s="37">
        <v>3611</v>
      </c>
      <c r="B135" s="38" t="s">
        <v>1407</v>
      </c>
      <c r="C135" s="154"/>
      <c r="D135" s="81">
        <f t="shared" si="41"/>
        <v>0</v>
      </c>
      <c r="E135" s="81"/>
      <c r="F135" s="70"/>
      <c r="G135" s="101" t="str">
        <f t="shared" si="42"/>
        <v>***</v>
      </c>
    </row>
    <row r="136" spans="1:7" s="47" customFormat="1" hidden="1">
      <c r="A136" s="37">
        <v>3691</v>
      </c>
      <c r="B136" s="36" t="s">
        <v>1306</v>
      </c>
      <c r="C136" s="154">
        <v>0</v>
      </c>
      <c r="D136" s="81">
        <f t="shared" si="41"/>
        <v>0</v>
      </c>
      <c r="E136" s="81">
        <v>0</v>
      </c>
      <c r="F136" s="70">
        <v>0</v>
      </c>
      <c r="G136" s="101" t="str">
        <f t="shared" ref="G136" si="45">IF(E136&lt;&gt;0,F136/E136,"***")</f>
        <v>***</v>
      </c>
    </row>
    <row r="137" spans="1:7">
      <c r="A137" s="35">
        <v>4</v>
      </c>
      <c r="B137" s="34" t="s">
        <v>1424</v>
      </c>
      <c r="C137" s="183">
        <f>SUM(C138:C140)</f>
        <v>0</v>
      </c>
      <c r="D137" s="98">
        <f>SUM(D138:D140)</f>
        <v>0</v>
      </c>
      <c r="E137" s="98">
        <f>SUM(E138:E140)</f>
        <v>0</v>
      </c>
      <c r="F137" s="98">
        <f t="shared" ref="F137" si="46">SUM(F138:F140)</f>
        <v>0</v>
      </c>
      <c r="G137" s="73" t="str">
        <f t="shared" si="25"/>
        <v>***</v>
      </c>
    </row>
    <row r="138" spans="1:7" s="47" customFormat="1" hidden="1">
      <c r="A138" s="112">
        <v>4123</v>
      </c>
      <c r="B138" s="113" t="s">
        <v>1294</v>
      </c>
      <c r="C138" s="185">
        <v>0</v>
      </c>
      <c r="D138" s="99"/>
      <c r="E138" s="99">
        <v>0</v>
      </c>
      <c r="F138" s="99">
        <v>0</v>
      </c>
      <c r="G138" s="114" t="str">
        <f t="shared" si="25"/>
        <v>***</v>
      </c>
    </row>
    <row r="139" spans="1:7" hidden="1">
      <c r="A139" s="112">
        <v>4221</v>
      </c>
      <c r="B139" s="113" t="s">
        <v>1282</v>
      </c>
      <c r="C139" s="185"/>
      <c r="D139" s="99"/>
      <c r="E139" s="99"/>
      <c r="F139" s="99"/>
      <c r="G139" s="114" t="str">
        <f t="shared" si="25"/>
        <v>***</v>
      </c>
    </row>
    <row r="140" spans="1:7" hidden="1">
      <c r="A140" s="37">
        <v>4227</v>
      </c>
      <c r="B140" s="38" t="s">
        <v>1283</v>
      </c>
      <c r="C140" s="154">
        <v>0</v>
      </c>
      <c r="D140" s="81">
        <f>C140/7.5345</f>
        <v>0</v>
      </c>
      <c r="E140" s="70">
        <v>0</v>
      </c>
      <c r="F140" s="70">
        <v>0</v>
      </c>
      <c r="G140" s="101" t="str">
        <f t="shared" si="25"/>
        <v>***</v>
      </c>
    </row>
    <row r="141" spans="1:7" ht="42.75" customHeight="1">
      <c r="A141" s="219" t="s">
        <v>1513</v>
      </c>
      <c r="B141" s="220"/>
      <c r="C141" s="182">
        <f>C142+C148</f>
        <v>1697411.52</v>
      </c>
      <c r="D141" s="103">
        <f>D142+D148</f>
        <v>225285.22396973919</v>
      </c>
      <c r="E141" s="103">
        <f t="shared" ref="E141:F141" si="47">E142+E148</f>
        <v>4430011</v>
      </c>
      <c r="F141" s="103">
        <f t="shared" si="47"/>
        <v>508621.38</v>
      </c>
      <c r="G141" s="104">
        <f t="shared" si="25"/>
        <v>0.11481266750804908</v>
      </c>
    </row>
    <row r="142" spans="1:7" s="47" customFormat="1">
      <c r="A142" s="35">
        <v>4</v>
      </c>
      <c r="B142" s="34" t="s">
        <v>1424</v>
      </c>
      <c r="C142" s="183">
        <f>SUM(C143:C147)</f>
        <v>1697411.52</v>
      </c>
      <c r="D142" s="98">
        <f>SUM(D143:D147)</f>
        <v>225285.22396973919</v>
      </c>
      <c r="E142" s="98">
        <f t="shared" ref="E142:F142" si="48">SUM(E143:E147)</f>
        <v>4430011</v>
      </c>
      <c r="F142" s="98">
        <f t="shared" si="48"/>
        <v>508621.38</v>
      </c>
      <c r="G142" s="73">
        <f t="shared" si="25"/>
        <v>0.11481266750804908</v>
      </c>
    </row>
    <row r="143" spans="1:7" s="46" customFormat="1">
      <c r="A143" s="37">
        <v>4124</v>
      </c>
      <c r="B143" s="38" t="s">
        <v>1376</v>
      </c>
      <c r="C143" s="154">
        <v>21809.59</v>
      </c>
      <c r="D143" s="81">
        <f>C143/7.5345</f>
        <v>2894.630035171544</v>
      </c>
      <c r="E143" s="70">
        <v>491460</v>
      </c>
      <c r="F143" s="70">
        <v>261329.35</v>
      </c>
      <c r="G143" s="101">
        <f t="shared" si="25"/>
        <v>0.53174083343507106</v>
      </c>
    </row>
    <row r="144" spans="1:7">
      <c r="A144" s="37">
        <v>4212</v>
      </c>
      <c r="B144" s="38" t="s">
        <v>1411</v>
      </c>
      <c r="C144" s="154">
        <v>0</v>
      </c>
      <c r="D144" s="81">
        <f t="shared" ref="D144:D149" si="49">C144/7.5345</f>
        <v>0</v>
      </c>
      <c r="E144" s="70">
        <v>2961379</v>
      </c>
      <c r="F144" s="70">
        <v>33916.82</v>
      </c>
      <c r="G144" s="101">
        <f t="shared" si="25"/>
        <v>1.1453049407049892E-2</v>
      </c>
    </row>
    <row r="145" spans="1:7">
      <c r="A145" s="37">
        <v>4221</v>
      </c>
      <c r="B145" s="38" t="s">
        <v>1282</v>
      </c>
      <c r="C145" s="154">
        <v>0</v>
      </c>
      <c r="D145" s="81">
        <f t="shared" si="49"/>
        <v>0</v>
      </c>
      <c r="E145" s="70">
        <v>288672</v>
      </c>
      <c r="F145" s="70">
        <v>124456.61</v>
      </c>
      <c r="G145" s="101">
        <f t="shared" si="25"/>
        <v>0.4311350252189336</v>
      </c>
    </row>
    <row r="146" spans="1:7">
      <c r="A146" s="37">
        <v>4227</v>
      </c>
      <c r="B146" s="38" t="s">
        <v>1283</v>
      </c>
      <c r="C146" s="154">
        <v>1675601.93</v>
      </c>
      <c r="D146" s="81">
        <f t="shared" si="49"/>
        <v>222390.59393456765</v>
      </c>
      <c r="E146" s="70">
        <v>688500</v>
      </c>
      <c r="F146" s="70">
        <v>88918.6</v>
      </c>
      <c r="G146" s="101">
        <f t="shared" si="25"/>
        <v>0.12914829339143066</v>
      </c>
    </row>
    <row r="147" spans="1:7" hidden="1">
      <c r="A147" s="39">
        <v>4231</v>
      </c>
      <c r="B147" s="40" t="s">
        <v>1412</v>
      </c>
      <c r="C147" s="154">
        <v>0</v>
      </c>
      <c r="D147" s="81">
        <f t="shared" si="49"/>
        <v>0</v>
      </c>
      <c r="E147" s="70">
        <v>0</v>
      </c>
      <c r="F147" s="70">
        <v>0</v>
      </c>
      <c r="G147" s="101" t="str">
        <f t="shared" si="25"/>
        <v>***</v>
      </c>
    </row>
    <row r="148" spans="1:7" hidden="1">
      <c r="A148" s="35">
        <v>5</v>
      </c>
      <c r="B148" s="34" t="s">
        <v>1426</v>
      </c>
      <c r="C148" s="183">
        <f>C149</f>
        <v>0</v>
      </c>
      <c r="D148" s="81">
        <f t="shared" si="49"/>
        <v>0</v>
      </c>
      <c r="E148" s="98">
        <f t="shared" ref="E148:F148" si="50">E149</f>
        <v>0</v>
      </c>
      <c r="F148" s="98">
        <f t="shared" si="50"/>
        <v>0</v>
      </c>
      <c r="G148" s="73" t="str">
        <f>IF(E148&lt;&gt;0,F148/E148,"***")</f>
        <v>***</v>
      </c>
    </row>
    <row r="149" spans="1:7" ht="30" hidden="1">
      <c r="A149" s="48">
        <v>5181</v>
      </c>
      <c r="B149" s="116" t="s">
        <v>1416</v>
      </c>
      <c r="C149" s="154">
        <v>0</v>
      </c>
      <c r="D149" s="81">
        <f t="shared" si="49"/>
        <v>0</v>
      </c>
      <c r="E149" s="81">
        <v>0</v>
      </c>
      <c r="F149" s="81">
        <v>0</v>
      </c>
      <c r="G149" s="101" t="str">
        <f t="shared" si="25"/>
        <v>***</v>
      </c>
    </row>
    <row r="150" spans="1:7">
      <c r="A150" s="210" t="s">
        <v>1284</v>
      </c>
      <c r="B150" s="211"/>
      <c r="C150" s="155">
        <f>C8+C30+C36+C85+C115+C141</f>
        <v>34075580.839999996</v>
      </c>
      <c r="D150" s="61">
        <f>D8+D30+D36+D85+D115+D141</f>
        <v>4522606.7874444211</v>
      </c>
      <c r="E150" s="61">
        <f>E8+E30+E36+E85+E115+E141</f>
        <v>16224542</v>
      </c>
      <c r="F150" s="61">
        <f>F8+F30+F36+F85+F115+F141</f>
        <v>5405805.5499999989</v>
      </c>
      <c r="G150" s="74">
        <f t="shared" si="25"/>
        <v>0.33318694296578594</v>
      </c>
    </row>
    <row r="151" spans="1:7">
      <c r="G151" s="102"/>
    </row>
    <row r="152" spans="1:7">
      <c r="G152" s="102"/>
    </row>
    <row r="153" spans="1:7">
      <c r="B153" s="149"/>
      <c r="C153" s="156"/>
      <c r="D153" s="150"/>
      <c r="E153" s="150"/>
      <c r="F153" s="150"/>
    </row>
    <row r="154" spans="1:7">
      <c r="C154" s="157"/>
      <c r="D154" s="46"/>
      <c r="E154"/>
      <c r="F154"/>
    </row>
    <row r="155" spans="1:7">
      <c r="C155" s="196"/>
      <c r="D155" s="196"/>
      <c r="E155" s="196"/>
      <c r="F155" s="196"/>
    </row>
  </sheetData>
  <mergeCells count="9">
    <mergeCell ref="A85:B85"/>
    <mergeCell ref="A115:B115"/>
    <mergeCell ref="A141:B141"/>
    <mergeCell ref="A150:B150"/>
    <mergeCell ref="A2:G2"/>
    <mergeCell ref="A4:F4"/>
    <mergeCell ref="A8:B8"/>
    <mergeCell ref="A36:B36"/>
    <mergeCell ref="A30:B30"/>
  </mergeCells>
  <pageMargins left="0.70866141732283472" right="0.70866141732283472" top="0.74803149606299213" bottom="0.74803149606299213" header="0.31496062992125984" footer="0.31496062992125984"/>
  <pageSetup paperSize="8" scale="87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0AB4B-9234-4D6C-B390-991B4FB09058}">
  <sheetPr>
    <tabColor rgb="FF92D050"/>
    <pageSetUpPr fitToPage="1"/>
  </sheetPr>
  <dimension ref="A2:G65"/>
  <sheetViews>
    <sheetView view="pageBreakPreview" topLeftCell="A25" zoomScale="60" zoomScaleNormal="120" workbookViewId="0">
      <selection activeCell="B65" sqref="B65:G65"/>
    </sheetView>
  </sheetViews>
  <sheetFormatPr defaultRowHeight="15"/>
  <cols>
    <col min="1" max="1" width="8.85546875" style="51" customWidth="1"/>
    <col min="2" max="2" width="75.42578125" customWidth="1"/>
    <col min="3" max="3" width="17.85546875" style="187" customWidth="1"/>
    <col min="4" max="4" width="17.85546875" style="95" customWidth="1"/>
    <col min="5" max="5" width="18.7109375" style="95" bestFit="1" customWidth="1"/>
    <col min="6" max="6" width="15.5703125" style="95" customWidth="1"/>
    <col min="7" max="7" width="13.140625" style="82" customWidth="1"/>
    <col min="8" max="8" width="16.7109375" customWidth="1"/>
  </cols>
  <sheetData>
    <row r="2" spans="1:7">
      <c r="A2" s="212" t="s">
        <v>1443</v>
      </c>
      <c r="B2" s="212"/>
      <c r="C2" s="212"/>
      <c r="D2" s="212"/>
      <c r="E2" s="212"/>
      <c r="F2" s="212"/>
      <c r="G2" s="212"/>
    </row>
    <row r="3" spans="1:7" s="76" customFormat="1">
      <c r="A3" s="93"/>
      <c r="B3" s="93"/>
      <c r="C3" s="179"/>
      <c r="D3" s="96"/>
      <c r="E3" s="96"/>
      <c r="F3" s="96"/>
      <c r="G3" s="100"/>
    </row>
    <row r="4" spans="1:7">
      <c r="A4" s="221" t="s">
        <v>1444</v>
      </c>
      <c r="B4" s="221"/>
      <c r="C4" s="221"/>
      <c r="D4" s="221"/>
      <c r="E4" s="221"/>
      <c r="F4" s="221"/>
      <c r="G4" s="221"/>
    </row>
    <row r="5" spans="1:7">
      <c r="A5" s="141"/>
      <c r="B5" s="141"/>
      <c r="C5" s="180"/>
      <c r="D5" s="97"/>
      <c r="E5" s="97"/>
      <c r="F5" s="97"/>
    </row>
    <row r="6" spans="1:7" ht="54.75" customHeight="1">
      <c r="A6" s="65" t="s">
        <v>1302</v>
      </c>
      <c r="B6" s="65" t="s">
        <v>1429</v>
      </c>
      <c r="C6" s="148" t="s">
        <v>1498</v>
      </c>
      <c r="D6" s="59" t="s">
        <v>1502</v>
      </c>
      <c r="E6" s="59" t="s">
        <v>1499</v>
      </c>
      <c r="F6" s="59" t="s">
        <v>1500</v>
      </c>
      <c r="G6" s="59" t="s">
        <v>1501</v>
      </c>
    </row>
    <row r="7" spans="1:7">
      <c r="A7" s="65">
        <v>1</v>
      </c>
      <c r="B7" s="65">
        <v>2</v>
      </c>
      <c r="C7" s="181">
        <v>3</v>
      </c>
      <c r="D7" s="108">
        <v>4</v>
      </c>
      <c r="E7" s="109">
        <v>5</v>
      </c>
      <c r="F7" s="110">
        <v>6</v>
      </c>
      <c r="G7" s="110">
        <v>7</v>
      </c>
    </row>
    <row r="8" spans="1:7" s="47" customFormat="1" ht="23.25" customHeight="1">
      <c r="A8" s="213" t="s">
        <v>1445</v>
      </c>
      <c r="B8" s="214"/>
      <c r="C8" s="189">
        <f>C9</f>
        <v>0</v>
      </c>
      <c r="D8" s="189">
        <f>D9</f>
        <v>0</v>
      </c>
      <c r="E8" s="142">
        <f t="shared" ref="E8:F8" si="0">E9</f>
        <v>0</v>
      </c>
      <c r="F8" s="142">
        <f t="shared" si="0"/>
        <v>0</v>
      </c>
      <c r="G8" s="72" t="str">
        <f t="shared" ref="G8:G62" si="1">IF(E8&lt;&gt;0,F8/E8,"***")</f>
        <v>***</v>
      </c>
    </row>
    <row r="9" spans="1:7" s="47" customFormat="1">
      <c r="A9" s="35">
        <v>8</v>
      </c>
      <c r="B9" s="34" t="s">
        <v>1378</v>
      </c>
      <c r="C9" s="183">
        <f>SUM(C10:C34)</f>
        <v>0</v>
      </c>
      <c r="D9" s="183">
        <f>SUM(D10:D34)</f>
        <v>0</v>
      </c>
      <c r="E9" s="98">
        <f t="shared" ref="E9:F9" si="2">SUM(E10:E34)</f>
        <v>0</v>
      </c>
      <c r="F9" s="98">
        <f t="shared" si="2"/>
        <v>0</v>
      </c>
      <c r="G9" s="73" t="str">
        <f t="shared" si="1"/>
        <v>***</v>
      </c>
    </row>
    <row r="10" spans="1:7">
      <c r="A10" s="37">
        <v>8413</v>
      </c>
      <c r="B10" s="38" t="s">
        <v>1446</v>
      </c>
      <c r="C10" s="154">
        <v>0</v>
      </c>
      <c r="D10" s="70">
        <v>0</v>
      </c>
      <c r="E10" s="70">
        <v>0</v>
      </c>
      <c r="F10" s="70">
        <v>0</v>
      </c>
      <c r="G10" s="101" t="str">
        <f t="shared" si="1"/>
        <v>***</v>
      </c>
    </row>
    <row r="11" spans="1:7">
      <c r="A11" s="37">
        <v>8414</v>
      </c>
      <c r="B11" s="38" t="s">
        <v>1447</v>
      </c>
      <c r="C11" s="154">
        <v>0</v>
      </c>
      <c r="D11" s="70">
        <v>0</v>
      </c>
      <c r="E11" s="70">
        <v>0</v>
      </c>
      <c r="F11" s="70">
        <v>0</v>
      </c>
      <c r="G11" s="101" t="str">
        <f t="shared" si="1"/>
        <v>***</v>
      </c>
    </row>
    <row r="12" spans="1:7">
      <c r="A12" s="37">
        <v>8415</v>
      </c>
      <c r="B12" s="38" t="s">
        <v>1448</v>
      </c>
      <c r="C12" s="154">
        <v>0</v>
      </c>
      <c r="D12" s="70">
        <v>0</v>
      </c>
      <c r="E12" s="70">
        <v>0</v>
      </c>
      <c r="F12" s="70">
        <v>0</v>
      </c>
      <c r="G12" s="101" t="str">
        <f t="shared" si="1"/>
        <v>***</v>
      </c>
    </row>
    <row r="13" spans="1:7" s="47" customFormat="1">
      <c r="A13" s="37">
        <v>8416</v>
      </c>
      <c r="B13" s="38" t="s">
        <v>1449</v>
      </c>
      <c r="C13" s="154">
        <v>0</v>
      </c>
      <c r="D13" s="70">
        <v>0</v>
      </c>
      <c r="E13" s="70">
        <v>0</v>
      </c>
      <c r="F13" s="70">
        <v>0</v>
      </c>
      <c r="G13" s="101" t="str">
        <f t="shared" si="1"/>
        <v>***</v>
      </c>
    </row>
    <row r="14" spans="1:7">
      <c r="A14" s="37">
        <v>8422</v>
      </c>
      <c r="B14" s="36" t="s">
        <v>1450</v>
      </c>
      <c r="C14" s="154">
        <v>0</v>
      </c>
      <c r="D14" s="70">
        <v>0</v>
      </c>
      <c r="E14" s="70">
        <v>0</v>
      </c>
      <c r="F14" s="70">
        <v>0</v>
      </c>
      <c r="G14" s="101" t="str">
        <f t="shared" si="1"/>
        <v>***</v>
      </c>
    </row>
    <row r="15" spans="1:7">
      <c r="A15" s="37">
        <v>8423</v>
      </c>
      <c r="B15" s="36" t="s">
        <v>1451</v>
      </c>
      <c r="C15" s="154">
        <v>0</v>
      </c>
      <c r="D15" s="70">
        <v>0</v>
      </c>
      <c r="E15" s="70">
        <v>0</v>
      </c>
      <c r="F15" s="70">
        <v>0</v>
      </c>
      <c r="G15" s="101" t="str">
        <f t="shared" si="1"/>
        <v>***</v>
      </c>
    </row>
    <row r="16" spans="1:7">
      <c r="A16" s="37">
        <v>8424</v>
      </c>
      <c r="B16" s="38" t="s">
        <v>1452</v>
      </c>
      <c r="C16" s="154">
        <v>0</v>
      </c>
      <c r="D16" s="70">
        <v>0</v>
      </c>
      <c r="E16" s="70">
        <v>0</v>
      </c>
      <c r="F16" s="70">
        <v>0</v>
      </c>
      <c r="G16" s="101" t="str">
        <f t="shared" si="1"/>
        <v>***</v>
      </c>
    </row>
    <row r="17" spans="1:7">
      <c r="A17" s="37">
        <v>8431</v>
      </c>
      <c r="B17" s="38" t="s">
        <v>1453</v>
      </c>
      <c r="C17" s="154">
        <v>0</v>
      </c>
      <c r="D17" s="70">
        <v>0</v>
      </c>
      <c r="E17" s="70">
        <v>0</v>
      </c>
      <c r="F17" s="70">
        <v>0</v>
      </c>
      <c r="G17" s="101" t="str">
        <f t="shared" si="1"/>
        <v>***</v>
      </c>
    </row>
    <row r="18" spans="1:7">
      <c r="A18" s="37">
        <v>8443</v>
      </c>
      <c r="B18" s="38" t="s">
        <v>1454</v>
      </c>
      <c r="C18" s="154">
        <v>0</v>
      </c>
      <c r="D18" s="70">
        <v>0</v>
      </c>
      <c r="E18" s="70">
        <v>0</v>
      </c>
      <c r="F18" s="70">
        <v>0</v>
      </c>
      <c r="G18" s="101" t="str">
        <f t="shared" si="1"/>
        <v>***</v>
      </c>
    </row>
    <row r="19" spans="1:7">
      <c r="A19" s="37">
        <v>8444</v>
      </c>
      <c r="B19" s="38" t="s">
        <v>1455</v>
      </c>
      <c r="C19" s="154">
        <v>0</v>
      </c>
      <c r="D19" s="70">
        <v>0</v>
      </c>
      <c r="E19" s="70">
        <v>0</v>
      </c>
      <c r="F19" s="70">
        <v>0</v>
      </c>
      <c r="G19" s="101" t="str">
        <f t="shared" si="1"/>
        <v>***</v>
      </c>
    </row>
    <row r="20" spans="1:7">
      <c r="A20" s="37">
        <v>8445</v>
      </c>
      <c r="B20" s="38" t="s">
        <v>1456</v>
      </c>
      <c r="C20" s="154">
        <v>0</v>
      </c>
      <c r="D20" s="70">
        <v>0</v>
      </c>
      <c r="E20" s="70">
        <v>0</v>
      </c>
      <c r="F20" s="70">
        <v>0</v>
      </c>
      <c r="G20" s="101" t="str">
        <f t="shared" si="1"/>
        <v>***</v>
      </c>
    </row>
    <row r="21" spans="1:7">
      <c r="A21" s="37">
        <v>8446</v>
      </c>
      <c r="B21" s="38" t="s">
        <v>1457</v>
      </c>
      <c r="C21" s="154">
        <v>0</v>
      </c>
      <c r="D21" s="70">
        <v>0</v>
      </c>
      <c r="E21" s="70">
        <v>0</v>
      </c>
      <c r="F21" s="70">
        <v>0</v>
      </c>
      <c r="G21" s="101" t="str">
        <f t="shared" si="1"/>
        <v>***</v>
      </c>
    </row>
    <row r="22" spans="1:7">
      <c r="A22" s="37">
        <v>8447</v>
      </c>
      <c r="B22" s="38" t="s">
        <v>1458</v>
      </c>
      <c r="C22" s="154">
        <v>0</v>
      </c>
      <c r="D22" s="70">
        <v>0</v>
      </c>
      <c r="E22" s="70">
        <v>0</v>
      </c>
      <c r="F22" s="70">
        <v>0</v>
      </c>
      <c r="G22" s="101" t="str">
        <f t="shared" si="1"/>
        <v>***</v>
      </c>
    </row>
    <row r="23" spans="1:7">
      <c r="A23" s="37">
        <v>8448</v>
      </c>
      <c r="B23" s="38" t="s">
        <v>1459</v>
      </c>
      <c r="C23" s="154">
        <v>0</v>
      </c>
      <c r="D23" s="70">
        <v>0</v>
      </c>
      <c r="E23" s="70">
        <v>0</v>
      </c>
      <c r="F23" s="70">
        <v>0</v>
      </c>
      <c r="G23" s="101" t="str">
        <f t="shared" si="1"/>
        <v>***</v>
      </c>
    </row>
    <row r="24" spans="1:7">
      <c r="A24" s="37">
        <v>8453</v>
      </c>
      <c r="B24" s="38" t="s">
        <v>1460</v>
      </c>
      <c r="C24" s="154">
        <v>0</v>
      </c>
      <c r="D24" s="70">
        <v>0</v>
      </c>
      <c r="E24" s="70">
        <v>0</v>
      </c>
      <c r="F24" s="70">
        <v>0</v>
      </c>
      <c r="G24" s="101" t="str">
        <f t="shared" si="1"/>
        <v>***</v>
      </c>
    </row>
    <row r="25" spans="1:7">
      <c r="A25" s="37">
        <v>8454</v>
      </c>
      <c r="B25" s="38" t="s">
        <v>1461</v>
      </c>
      <c r="C25" s="154">
        <v>0</v>
      </c>
      <c r="D25" s="70">
        <v>0</v>
      </c>
      <c r="E25" s="70">
        <v>0</v>
      </c>
      <c r="F25" s="70">
        <v>0</v>
      </c>
      <c r="G25" s="101" t="str">
        <f t="shared" si="1"/>
        <v>***</v>
      </c>
    </row>
    <row r="26" spans="1:7">
      <c r="A26" s="37">
        <v>8455</v>
      </c>
      <c r="B26" s="38" t="s">
        <v>1462</v>
      </c>
      <c r="C26" s="154">
        <v>0</v>
      </c>
      <c r="D26" s="70">
        <v>0</v>
      </c>
      <c r="E26" s="70">
        <v>0</v>
      </c>
      <c r="F26" s="70">
        <v>0</v>
      </c>
      <c r="G26" s="101" t="str">
        <f t="shared" si="1"/>
        <v>***</v>
      </c>
    </row>
    <row r="27" spans="1:7">
      <c r="A27" s="37">
        <v>8456</v>
      </c>
      <c r="B27" s="38" t="s">
        <v>1463</v>
      </c>
      <c r="C27" s="154">
        <v>0</v>
      </c>
      <c r="D27" s="70">
        <v>0</v>
      </c>
      <c r="E27" s="70">
        <v>0</v>
      </c>
      <c r="F27" s="70">
        <v>0</v>
      </c>
      <c r="G27" s="101" t="str">
        <f t="shared" si="1"/>
        <v>***</v>
      </c>
    </row>
    <row r="28" spans="1:7">
      <c r="A28" s="37">
        <v>8471</v>
      </c>
      <c r="B28" s="38" t="s">
        <v>1464</v>
      </c>
      <c r="C28" s="154">
        <v>0</v>
      </c>
      <c r="D28" s="70">
        <v>0</v>
      </c>
      <c r="E28" s="70">
        <v>0</v>
      </c>
      <c r="F28" s="70">
        <v>0</v>
      </c>
      <c r="G28" s="101" t="str">
        <f t="shared" si="1"/>
        <v>***</v>
      </c>
    </row>
    <row r="29" spans="1:7">
      <c r="A29" s="37">
        <v>8472</v>
      </c>
      <c r="B29" s="38" t="s">
        <v>1465</v>
      </c>
      <c r="C29" s="154">
        <v>0</v>
      </c>
      <c r="D29" s="70">
        <v>0</v>
      </c>
      <c r="E29" s="70">
        <v>0</v>
      </c>
      <c r="F29" s="70">
        <v>0</v>
      </c>
      <c r="G29" s="101" t="str">
        <f t="shared" si="1"/>
        <v>***</v>
      </c>
    </row>
    <row r="30" spans="1:7">
      <c r="A30" s="37">
        <v>8473</v>
      </c>
      <c r="B30" s="38" t="s">
        <v>1466</v>
      </c>
      <c r="C30" s="154">
        <v>0</v>
      </c>
      <c r="D30" s="70">
        <v>0</v>
      </c>
      <c r="E30" s="70">
        <v>0</v>
      </c>
      <c r="F30" s="70">
        <v>0</v>
      </c>
      <c r="G30" s="101" t="str">
        <f t="shared" si="1"/>
        <v>***</v>
      </c>
    </row>
    <row r="31" spans="1:7">
      <c r="A31" s="37">
        <v>8474</v>
      </c>
      <c r="B31" s="38" t="s">
        <v>1467</v>
      </c>
      <c r="C31" s="154">
        <v>0</v>
      </c>
      <c r="D31" s="70">
        <v>0</v>
      </c>
      <c r="E31" s="70">
        <v>0</v>
      </c>
      <c r="F31" s="70">
        <v>0</v>
      </c>
      <c r="G31" s="101" t="str">
        <f t="shared" si="1"/>
        <v>***</v>
      </c>
    </row>
    <row r="32" spans="1:7">
      <c r="A32" s="37">
        <v>8475</v>
      </c>
      <c r="B32" s="38" t="s">
        <v>1468</v>
      </c>
      <c r="C32" s="154">
        <v>0</v>
      </c>
      <c r="D32" s="70">
        <v>0</v>
      </c>
      <c r="E32" s="70">
        <v>0</v>
      </c>
      <c r="F32" s="70">
        <v>0</v>
      </c>
      <c r="G32" s="101" t="str">
        <f t="shared" si="1"/>
        <v>***</v>
      </c>
    </row>
    <row r="33" spans="1:7">
      <c r="A33" s="37">
        <v>8476</v>
      </c>
      <c r="B33" s="38" t="s">
        <v>1469</v>
      </c>
      <c r="C33" s="154">
        <v>0</v>
      </c>
      <c r="D33" s="70">
        <v>0</v>
      </c>
      <c r="E33" s="70">
        <v>0</v>
      </c>
      <c r="F33" s="70">
        <v>0</v>
      </c>
      <c r="G33" s="101" t="str">
        <f t="shared" si="1"/>
        <v>***</v>
      </c>
    </row>
    <row r="34" spans="1:7">
      <c r="A34" s="37">
        <v>8477</v>
      </c>
      <c r="B34" s="38" t="s">
        <v>1470</v>
      </c>
      <c r="C34" s="154">
        <v>0</v>
      </c>
      <c r="D34" s="70">
        <v>0</v>
      </c>
      <c r="E34" s="70">
        <v>0</v>
      </c>
      <c r="F34" s="70">
        <v>0</v>
      </c>
      <c r="G34" s="101" t="str">
        <f t="shared" si="1"/>
        <v>***</v>
      </c>
    </row>
    <row r="35" spans="1:7">
      <c r="A35" s="213" t="s">
        <v>1394</v>
      </c>
      <c r="B35" s="214"/>
      <c r="C35" s="190">
        <f>C36</f>
        <v>0</v>
      </c>
      <c r="D35" s="190">
        <f>D36</f>
        <v>0</v>
      </c>
      <c r="E35" s="143">
        <f t="shared" ref="E35:F35" si="3">E36</f>
        <v>0</v>
      </c>
      <c r="F35" s="143">
        <f t="shared" si="3"/>
        <v>0</v>
      </c>
      <c r="G35" s="72" t="str">
        <f t="shared" si="1"/>
        <v>***</v>
      </c>
    </row>
    <row r="36" spans="1:7" s="47" customFormat="1" ht="15" customHeight="1">
      <c r="A36" s="35">
        <v>5</v>
      </c>
      <c r="B36" s="34" t="s">
        <v>1426</v>
      </c>
      <c r="C36" s="183">
        <f>SUM(C37:E61)</f>
        <v>0</v>
      </c>
      <c r="D36" s="183">
        <f>SUM(D37:F61)</f>
        <v>0</v>
      </c>
      <c r="E36" s="98">
        <f t="shared" ref="E36:F36" si="4">SUM(E37:F61)</f>
        <v>0</v>
      </c>
      <c r="F36" s="98">
        <f t="shared" si="4"/>
        <v>0</v>
      </c>
      <c r="G36" s="73" t="str">
        <f t="shared" si="1"/>
        <v>***</v>
      </c>
    </row>
    <row r="37" spans="1:7" s="47" customFormat="1" ht="15" customHeight="1">
      <c r="A37" s="48">
        <v>5413</v>
      </c>
      <c r="B37" s="49" t="s">
        <v>1471</v>
      </c>
      <c r="C37" s="154">
        <v>0</v>
      </c>
      <c r="D37" s="81">
        <v>0</v>
      </c>
      <c r="E37" s="81">
        <v>0</v>
      </c>
      <c r="F37" s="81">
        <v>0</v>
      </c>
      <c r="G37" s="73" t="str">
        <f t="shared" si="1"/>
        <v>***</v>
      </c>
    </row>
    <row r="38" spans="1:7" s="47" customFormat="1" ht="15" customHeight="1">
      <c r="A38" s="48">
        <v>5414</v>
      </c>
      <c r="B38" s="49" t="s">
        <v>1472</v>
      </c>
      <c r="C38" s="154">
        <v>0</v>
      </c>
      <c r="D38" s="81">
        <v>0</v>
      </c>
      <c r="E38" s="81">
        <v>0</v>
      </c>
      <c r="F38" s="81">
        <v>0</v>
      </c>
      <c r="G38" s="73" t="str">
        <f t="shared" si="1"/>
        <v>***</v>
      </c>
    </row>
    <row r="39" spans="1:7" s="47" customFormat="1" ht="15" customHeight="1">
      <c r="A39" s="48">
        <v>5415</v>
      </c>
      <c r="B39" s="49" t="s">
        <v>1473</v>
      </c>
      <c r="C39" s="154">
        <v>0</v>
      </c>
      <c r="D39" s="81">
        <v>0</v>
      </c>
      <c r="E39" s="81">
        <v>0</v>
      </c>
      <c r="F39" s="81">
        <v>0</v>
      </c>
      <c r="G39" s="73" t="str">
        <f t="shared" si="1"/>
        <v>***</v>
      </c>
    </row>
    <row r="40" spans="1:7" s="47" customFormat="1" ht="15" customHeight="1">
      <c r="A40" s="48">
        <v>5416</v>
      </c>
      <c r="B40" s="49" t="s">
        <v>1474</v>
      </c>
      <c r="C40" s="154">
        <v>0</v>
      </c>
      <c r="D40" s="81">
        <v>0</v>
      </c>
      <c r="E40" s="81">
        <v>0</v>
      </c>
      <c r="F40" s="81">
        <v>0</v>
      </c>
      <c r="G40" s="73" t="str">
        <f t="shared" si="1"/>
        <v>***</v>
      </c>
    </row>
    <row r="41" spans="1:7" s="47" customFormat="1" ht="15" customHeight="1">
      <c r="A41" s="48">
        <v>5422</v>
      </c>
      <c r="B41" s="49" t="s">
        <v>1475</v>
      </c>
      <c r="C41" s="154">
        <v>0</v>
      </c>
      <c r="D41" s="81">
        <v>0</v>
      </c>
      <c r="E41" s="81">
        <v>0</v>
      </c>
      <c r="F41" s="81">
        <v>0</v>
      </c>
      <c r="G41" s="73" t="str">
        <f t="shared" si="1"/>
        <v>***</v>
      </c>
    </row>
    <row r="42" spans="1:7" s="47" customFormat="1" ht="15" customHeight="1">
      <c r="A42" s="48">
        <v>5423</v>
      </c>
      <c r="B42" s="49" t="s">
        <v>1476</v>
      </c>
      <c r="C42" s="154">
        <v>0</v>
      </c>
      <c r="D42" s="81">
        <v>0</v>
      </c>
      <c r="E42" s="81">
        <v>0</v>
      </c>
      <c r="F42" s="81">
        <v>0</v>
      </c>
      <c r="G42" s="73" t="str">
        <f t="shared" si="1"/>
        <v>***</v>
      </c>
    </row>
    <row r="43" spans="1:7" s="47" customFormat="1" ht="15" customHeight="1">
      <c r="A43" s="48">
        <v>5424</v>
      </c>
      <c r="B43" s="49" t="s">
        <v>1477</v>
      </c>
      <c r="C43" s="154">
        <v>0</v>
      </c>
      <c r="D43" s="81">
        <v>0</v>
      </c>
      <c r="E43" s="81">
        <v>0</v>
      </c>
      <c r="F43" s="81">
        <v>0</v>
      </c>
      <c r="G43" s="73" t="str">
        <f t="shared" si="1"/>
        <v>***</v>
      </c>
    </row>
    <row r="44" spans="1:7" s="47" customFormat="1" ht="15" customHeight="1">
      <c r="A44" s="48">
        <v>5431</v>
      </c>
      <c r="B44" s="49" t="s">
        <v>1478</v>
      </c>
      <c r="C44" s="154">
        <v>0</v>
      </c>
      <c r="D44" s="81">
        <v>0</v>
      </c>
      <c r="E44" s="81">
        <v>0</v>
      </c>
      <c r="F44" s="81">
        <v>0</v>
      </c>
      <c r="G44" s="73" t="str">
        <f t="shared" si="1"/>
        <v>***</v>
      </c>
    </row>
    <row r="45" spans="1:7" s="47" customFormat="1" ht="15" customHeight="1">
      <c r="A45" s="48">
        <v>5443</v>
      </c>
      <c r="B45" s="38" t="s">
        <v>1479</v>
      </c>
      <c r="C45" s="154">
        <v>0</v>
      </c>
      <c r="D45" s="81">
        <v>0</v>
      </c>
      <c r="E45" s="81">
        <v>0</v>
      </c>
      <c r="F45" s="81">
        <v>0</v>
      </c>
      <c r="G45" s="73" t="str">
        <f t="shared" si="1"/>
        <v>***</v>
      </c>
    </row>
    <row r="46" spans="1:7" s="47" customFormat="1" ht="15" customHeight="1">
      <c r="A46" s="48">
        <v>5444</v>
      </c>
      <c r="B46" s="38" t="s">
        <v>1480</v>
      </c>
      <c r="C46" s="154">
        <v>0</v>
      </c>
      <c r="D46" s="81">
        <v>0</v>
      </c>
      <c r="E46" s="81">
        <v>0</v>
      </c>
      <c r="F46" s="81">
        <v>0</v>
      </c>
      <c r="G46" s="73" t="str">
        <f t="shared" si="1"/>
        <v>***</v>
      </c>
    </row>
    <row r="47" spans="1:7" s="47" customFormat="1" ht="15" customHeight="1">
      <c r="A47" s="48">
        <v>5445</v>
      </c>
      <c r="B47" s="38" t="s">
        <v>1481</v>
      </c>
      <c r="C47" s="154">
        <v>0</v>
      </c>
      <c r="D47" s="81">
        <v>0</v>
      </c>
      <c r="E47" s="81">
        <v>0</v>
      </c>
      <c r="F47" s="81">
        <v>0</v>
      </c>
      <c r="G47" s="73" t="str">
        <f t="shared" si="1"/>
        <v>***</v>
      </c>
    </row>
    <row r="48" spans="1:7" s="47" customFormat="1" ht="15" customHeight="1">
      <c r="A48" s="48">
        <v>5446</v>
      </c>
      <c r="B48" s="38" t="s">
        <v>1482</v>
      </c>
      <c r="C48" s="154">
        <v>0</v>
      </c>
      <c r="D48" s="81">
        <v>0</v>
      </c>
      <c r="E48" s="81">
        <v>0</v>
      </c>
      <c r="F48" s="81">
        <v>0</v>
      </c>
      <c r="G48" s="73" t="str">
        <f t="shared" si="1"/>
        <v>***</v>
      </c>
    </row>
    <row r="49" spans="1:7">
      <c r="A49" s="48">
        <v>5447</v>
      </c>
      <c r="B49" s="38" t="s">
        <v>1483</v>
      </c>
      <c r="C49" s="154">
        <v>0</v>
      </c>
      <c r="D49" s="81">
        <v>0</v>
      </c>
      <c r="E49" s="81">
        <v>0</v>
      </c>
      <c r="F49" s="81">
        <v>0</v>
      </c>
      <c r="G49" s="73" t="str">
        <f t="shared" si="1"/>
        <v>***</v>
      </c>
    </row>
    <row r="50" spans="1:7">
      <c r="A50" s="48">
        <v>5448</v>
      </c>
      <c r="B50" s="38" t="s">
        <v>1484</v>
      </c>
      <c r="C50" s="154">
        <v>0</v>
      </c>
      <c r="D50" s="81">
        <v>0</v>
      </c>
      <c r="E50" s="81">
        <v>0</v>
      </c>
      <c r="F50" s="81">
        <v>0</v>
      </c>
      <c r="G50" s="73" t="str">
        <f t="shared" si="1"/>
        <v>***</v>
      </c>
    </row>
    <row r="51" spans="1:7" ht="15" customHeight="1">
      <c r="A51" s="137">
        <v>5453</v>
      </c>
      <c r="B51" s="38" t="s">
        <v>1485</v>
      </c>
      <c r="C51" s="154">
        <v>0</v>
      </c>
      <c r="D51" s="81">
        <v>0</v>
      </c>
      <c r="E51" s="81">
        <v>0</v>
      </c>
      <c r="F51" s="81">
        <v>0</v>
      </c>
      <c r="G51" s="73" t="str">
        <f t="shared" si="1"/>
        <v>***</v>
      </c>
    </row>
    <row r="52" spans="1:7">
      <c r="A52" s="144">
        <v>5454</v>
      </c>
      <c r="B52" s="38" t="s">
        <v>1486</v>
      </c>
      <c r="C52" s="154">
        <v>0</v>
      </c>
      <c r="D52" s="81">
        <v>0</v>
      </c>
      <c r="E52" s="81">
        <v>0</v>
      </c>
      <c r="F52" s="81">
        <v>0</v>
      </c>
      <c r="G52" s="73" t="str">
        <f t="shared" si="1"/>
        <v>***</v>
      </c>
    </row>
    <row r="53" spans="1:7" s="82" customFormat="1">
      <c r="A53" s="144">
        <v>5455</v>
      </c>
      <c r="B53" s="38" t="s">
        <v>1487</v>
      </c>
      <c r="C53" s="154">
        <v>0</v>
      </c>
      <c r="D53" s="81">
        <v>0</v>
      </c>
      <c r="E53" s="81">
        <v>0</v>
      </c>
      <c r="F53" s="81">
        <v>0</v>
      </c>
      <c r="G53" s="73" t="str">
        <f t="shared" si="1"/>
        <v>***</v>
      </c>
    </row>
    <row r="54" spans="1:7" s="82" customFormat="1">
      <c r="A54" s="144">
        <v>5456</v>
      </c>
      <c r="B54" s="38" t="s">
        <v>1488</v>
      </c>
      <c r="C54" s="154">
        <v>0</v>
      </c>
      <c r="D54" s="81">
        <v>0</v>
      </c>
      <c r="E54" s="81">
        <v>0</v>
      </c>
      <c r="F54" s="81">
        <v>0</v>
      </c>
      <c r="G54" s="73" t="str">
        <f t="shared" si="1"/>
        <v>***</v>
      </c>
    </row>
    <row r="55" spans="1:7">
      <c r="A55" s="144">
        <v>5471</v>
      </c>
      <c r="B55" s="38" t="s">
        <v>1489</v>
      </c>
      <c r="C55" s="154">
        <v>0</v>
      </c>
      <c r="D55" s="81">
        <v>0</v>
      </c>
      <c r="E55" s="81">
        <v>0</v>
      </c>
      <c r="F55" s="81">
        <v>0</v>
      </c>
      <c r="G55" s="73" t="str">
        <f t="shared" si="1"/>
        <v>***</v>
      </c>
    </row>
    <row r="56" spans="1:7">
      <c r="A56" s="144">
        <v>5472</v>
      </c>
      <c r="B56" s="38" t="s">
        <v>1490</v>
      </c>
      <c r="C56" s="154">
        <v>0</v>
      </c>
      <c r="D56" s="81">
        <v>0</v>
      </c>
      <c r="E56" s="81">
        <v>0</v>
      </c>
      <c r="F56" s="81">
        <v>0</v>
      </c>
      <c r="G56" s="73" t="str">
        <f t="shared" si="1"/>
        <v>***</v>
      </c>
    </row>
    <row r="57" spans="1:7">
      <c r="A57" s="144">
        <v>5473</v>
      </c>
      <c r="B57" s="38" t="s">
        <v>1491</v>
      </c>
      <c r="C57" s="154">
        <v>0</v>
      </c>
      <c r="D57" s="81">
        <v>0</v>
      </c>
      <c r="E57" s="81">
        <v>0</v>
      </c>
      <c r="F57" s="81">
        <v>0</v>
      </c>
      <c r="G57" s="73" t="str">
        <f t="shared" si="1"/>
        <v>***</v>
      </c>
    </row>
    <row r="58" spans="1:7">
      <c r="A58" s="144">
        <v>5474</v>
      </c>
      <c r="B58" s="38" t="s">
        <v>1492</v>
      </c>
      <c r="C58" s="154">
        <v>0</v>
      </c>
      <c r="D58" s="81">
        <v>0</v>
      </c>
      <c r="E58" s="81">
        <v>0</v>
      </c>
      <c r="F58" s="81">
        <v>0</v>
      </c>
      <c r="G58" s="73" t="str">
        <f t="shared" si="1"/>
        <v>***</v>
      </c>
    </row>
    <row r="59" spans="1:7">
      <c r="A59" s="144">
        <v>5475</v>
      </c>
      <c r="B59" s="38" t="s">
        <v>1493</v>
      </c>
      <c r="C59" s="154">
        <v>0</v>
      </c>
      <c r="D59" s="81">
        <v>0</v>
      </c>
      <c r="E59" s="81">
        <v>0</v>
      </c>
      <c r="F59" s="81">
        <v>0</v>
      </c>
      <c r="G59" s="73" t="str">
        <f t="shared" si="1"/>
        <v>***</v>
      </c>
    </row>
    <row r="60" spans="1:7">
      <c r="A60" s="144">
        <v>5476</v>
      </c>
      <c r="B60" s="38" t="s">
        <v>1494</v>
      </c>
      <c r="C60" s="154">
        <v>0</v>
      </c>
      <c r="D60" s="81">
        <v>0</v>
      </c>
      <c r="E60" s="81">
        <v>0</v>
      </c>
      <c r="F60" s="81">
        <v>0</v>
      </c>
      <c r="G60" s="73" t="str">
        <f t="shared" si="1"/>
        <v>***</v>
      </c>
    </row>
    <row r="61" spans="1:7">
      <c r="A61" s="144">
        <v>5477</v>
      </c>
      <c r="B61" s="38" t="s">
        <v>1495</v>
      </c>
      <c r="C61" s="154">
        <v>0</v>
      </c>
      <c r="D61" s="81">
        <v>0</v>
      </c>
      <c r="E61" s="81">
        <v>0</v>
      </c>
      <c r="F61" s="81">
        <v>0</v>
      </c>
      <c r="G61" s="73" t="str">
        <f t="shared" si="1"/>
        <v>***</v>
      </c>
    </row>
    <row r="62" spans="1:7">
      <c r="A62" s="210" t="s">
        <v>1284</v>
      </c>
      <c r="B62" s="211"/>
      <c r="C62" s="191">
        <f>C8-C35</f>
        <v>0</v>
      </c>
      <c r="D62" s="191">
        <f>D8-D35</f>
        <v>0</v>
      </c>
      <c r="E62" s="145">
        <f t="shared" ref="E62:F62" si="5">E8-E35</f>
        <v>0</v>
      </c>
      <c r="F62" s="145">
        <f t="shared" si="5"/>
        <v>0</v>
      </c>
      <c r="G62" s="74" t="str">
        <f t="shared" si="1"/>
        <v>***</v>
      </c>
    </row>
    <row r="65" spans="2:7">
      <c r="B65" s="149"/>
      <c r="C65" s="192"/>
      <c r="D65" s="193"/>
      <c r="E65" s="193"/>
      <c r="F65" s="193"/>
      <c r="G65" s="146"/>
    </row>
  </sheetData>
  <mergeCells count="5">
    <mergeCell ref="A2:G2"/>
    <mergeCell ref="A4:G4"/>
    <mergeCell ref="A8:B8"/>
    <mergeCell ref="A35:B35"/>
    <mergeCell ref="A62:B62"/>
  </mergeCells>
  <pageMargins left="0.70866141732283472" right="0.70866141732283472" top="0.74803149606299213" bottom="0.74803149606299213" header="0.31496062992125984" footer="0.31496062992125984"/>
  <pageSetup paperSize="8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3</vt:i4>
      </vt:variant>
    </vt:vector>
  </HeadingPairs>
  <TitlesOfParts>
    <vt:vector size="12" baseType="lpstr">
      <vt:lpstr>Sheet1</vt:lpstr>
      <vt:lpstr>Sheet 2</vt:lpstr>
      <vt:lpstr>1-OPĆI DIO</vt:lpstr>
      <vt:lpstr>2-PRIHODI</vt:lpstr>
      <vt:lpstr>3-RASHODI</vt:lpstr>
      <vt:lpstr>4-PRIHODI (PO IZVORIMA FIN.)</vt:lpstr>
      <vt:lpstr>5-RASHODI (PO IZVORIMA FIN.)</vt:lpstr>
      <vt:lpstr>6-RASHODI (AKTIVNOST I IZVOR)</vt:lpstr>
      <vt:lpstr>7-RAČUN FINANCIRANJA</vt:lpstr>
      <vt:lpstr>'5-RASHODI (PO IZVORIMA FIN.)'!Podrucje_ispisa</vt:lpstr>
      <vt:lpstr>'6-RASHODI (AKTIVNOST I IZVOR)'!Podrucje_ispisa</vt:lpstr>
      <vt:lpstr>'7-RAČUN FINANCIRANJA'!Podrucje_ispisa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Vladimirka Telenta</dc:creator>
  <cp:lastModifiedBy>mklicek</cp:lastModifiedBy>
  <cp:lastPrinted>2023-07-11T05:05:01Z</cp:lastPrinted>
  <dcterms:created xsi:type="dcterms:W3CDTF">2015-03-27T08:41:49Z</dcterms:created>
  <dcterms:modified xsi:type="dcterms:W3CDTF">2023-07-24T19:55:24Z</dcterms:modified>
</cp:coreProperties>
</file>