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klicek\Desktop\FINANCIJSKI PLAN 2023.-2025\SENAT - prosinac 2022 (FP 2023 + 2. rebalans)\IVANA - finalno za Senat\"/>
    </mc:Choice>
  </mc:AlternateContent>
  <xr:revisionPtr revIDLastSave="0" documentId="13_ncr:1_{EA7F4ED5-C1E5-4312-99C8-A24B17D5C361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04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DIO'!$A$1:$E$34</definedName>
    <definedName name="_xlnm.Print_Area" localSheetId="1">'Unos prihoda i primitaka'!$A$1:$J$22</definedName>
    <definedName name="_xlnm.Print_Area" localSheetId="2">'Unos rashoda i izdataka'!$A$1:$M$88</definedName>
    <definedName name="_xlnm.Print_Area" localSheetId="3">'Unos rashoda P4'!$A$1:$P$47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J29" i="17" l="1"/>
  <c r="J19" i="17"/>
  <c r="I9" i="4" l="1"/>
  <c r="H8" i="4"/>
  <c r="H9" i="4"/>
  <c r="G23" i="34"/>
  <c r="G15" i="34"/>
  <c r="L71" i="17"/>
  <c r="I30" i="25" l="1"/>
  <c r="K70" i="17" l="1"/>
  <c r="K60" i="17"/>
  <c r="K81" i="17" l="1"/>
  <c r="L14" i="17" l="1"/>
  <c r="K14" i="17"/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<sst xmlns="http://schemas.openxmlformats.org/spreadsheetml/2006/main" count="14001" uniqueCount="5315">
  <si>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</si>
  <si>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</si>
  <si>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</si>
  <si>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</si>
  <si>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</si>
  <si>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</si>
  <si>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</si>
  <si>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</si>
  <si>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</si>
  <si>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</si>
  <si>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</si>
  <si>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</si>
  <si>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</si>
  <si>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</si>
  <si>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</si>
  <si>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</si>
  <si>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</si>
  <si>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</si>
  <si>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</si>
  <si>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</si>
  <si>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</si>
  <si>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</si>
  <si>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</si>
  <si>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</si>
  <si>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</si>
  <si>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</si>
  <si>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</si>
  <si>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</si>
  <si>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</si>
  <si>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</si>
  <si>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</si>
  <si>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</si>
  <si>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</si>
  <si>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</si>
  <si>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</si>
  <si>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</si>
  <si>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</si>
  <si>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</si>
  <si>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</si>
  <si>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</si>
  <si>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</si>
  <si>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</si>
  <si>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</si>
  <si>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</si>
  <si>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</si>
  <si>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</si>
  <si>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</si>
  <si>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</si>
  <si>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</si>
  <si>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</si>
  <si>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</si>
  <si>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</si>
  <si>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</si>
  <si>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</si>
  <si>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</si>
  <si>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</si>
  <si>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</si>
  <si>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</si>
  <si>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</si>
  <si>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</si>
  <si>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</si>
  <si>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</si>
  <si>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</si>
  <si>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</si>
  <si>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</si>
  <si>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</si>
  <si>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</si>
  <si>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</si>
  <si>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</si>
  <si>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</si>
  <si>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</si>
  <si>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</si>
  <si>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</si>
  <si>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</si>
  <si>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</si>
  <si>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</si>
  <si>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</si>
  <si>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</si>
  <si>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</si>
  <si>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</si>
  <si>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</si>
  <si>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</si>
  <si>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</si>
  <si>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</si>
  <si>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</si>
  <si>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</si>
  <si>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</si>
  <si>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</si>
  <si>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</si>
  <si>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</si>
  <si>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</si>
  <si>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</si>
  <si>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</si>
  <si>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</si>
  <si>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</si>
  <si>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</si>
  <si>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</si>
  <si>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</si>
  <si>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</si>
  <si>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</si>
  <si>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</si>
  <si>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</si>
  <si>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</si>
  <si>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</si>
  <si>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</si>
  <si>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</si>
  <si>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</si>
  <si>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</si>
  <si>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</si>
  <si>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</si>
  <si>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</si>
  <si>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</si>
  <si>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</si>
  <si>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</si>
  <si>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</si>
  <si>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</si>
  <si>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</si>
  <si>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</si>
  <si>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</si>
  <si>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</si>
  <si>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</si>
  <si>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</si>
  <si>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</si>
  <si>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</si>
  <si>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</si>
  <si>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</si>
  <si>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</si>
  <si>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</si>
  <si>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</si>
  <si>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</si>
  <si>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</si>
  <si>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</si>
  <si>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</si>
  <si>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</si>
  <si>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</si>
  <si>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</si>
  <si>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</si>
  <si>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</si>
  <si>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</si>
  <si>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</si>
  <si>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</si>
  <si>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</si>
  <si>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</si>
  <si>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</si>
  <si>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</si>
  <si>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</si>
  <si>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</si>
  <si>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</si>
  <si>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</si>
  <si>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</si>
  <si>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</si>
  <si>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</si>
  <si>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</si>
  <si>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</si>
  <si>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</si>
  <si>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</si>
  <si>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</si>
  <si>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</si>
  <si>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</si>
  <si>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</si>
  <si>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</si>
  <si>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</si>
  <si>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</si>
  <si>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</si>
  <si>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</si>
  <si>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</si>
  <si>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</si>
  <si>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</si>
  <si>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</si>
  <si>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</si>
  <si>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</si>
  <si>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</si>
  <si>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</si>
  <si>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</si>
  <si>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</si>
  <si>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</si>
  <si>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</si>
  <si>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</si>
  <si>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</si>
  <si>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</si>
  <si>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</si>
  <si>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</si>
  <si>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</si>
  <si>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</si>
  <si>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</si>
  <si>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</si>
  <si>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</si>
  <si>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</si>
  <si>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</si>
  <si>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</si>
  <si>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</si>
  <si>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</si>
  <si>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</si>
  <si>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</si>
  <si>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</si>
  <si>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</si>
  <si>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</si>
  <si>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</si>
  <si>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</si>
  <si>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</si>
  <si>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</si>
  <si>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</si>
  <si>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</si>
  <si>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</si>
  <si>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</si>
  <si>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</si>
  <si>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</si>
  <si>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</si>
  <si>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</si>
  <si>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</si>
  <si>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</si>
  <si>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</si>
  <si>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</si>
  <si>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</si>
  <si>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</si>
  <si>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</si>
  <si>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</si>
  <si>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</si>
  <si>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</si>
  <si>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</si>
  <si>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</si>
  <si>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</si>
  <si>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</si>
  <si>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</si>
  <si>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</si>
  <si>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</si>
  <si>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</si>
  <si>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</si>
  <si>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</si>
  <si>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</si>
  <si>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</si>
  <si>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</si>
  <si>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</si>
  <si>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</si>
  <si>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</si>
  <si>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</si>
  <si>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</si>
  <si>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</si>
  <si>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</si>
  <si>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</si>
  <si>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</si>
  <si>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</si>
  <si>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</si>
  <si>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</si>
  <si>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</si>
  <si>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</si>
  <si>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</si>
  <si>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</si>
  <si>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</si>
  <si>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</si>
  <si>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</si>
  <si>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</si>
  <si>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</si>
  <si>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</si>
  <si>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</si>
  <si>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</si>
  <si>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</si>
  <si>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</si>
  <si>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</si>
  <si>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</si>
  <si>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</si>
  <si>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</si>
  <si>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</si>
  <si>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</si>
  <si>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</si>
  <si>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</si>
  <si>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</si>
  <si>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</si>
  <si>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</si>
  <si>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</si>
  <si>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</si>
  <si>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</si>
  <si>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</si>
  <si>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</si>
  <si>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</si>
  <si>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</si>
  <si>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</si>
  <si>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</si>
  <si>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</si>
  <si>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</si>
  <si>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</si>
  <si>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</si>
  <si>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</si>
  <si>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</si>
  <si>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</si>
  <si>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</si>
  <si>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</si>
  <si>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</si>
  <si>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</si>
  <si>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</si>
  <si>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</si>
  <si>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</si>
  <si>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</si>
  <si>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</si>
  <si>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</si>
  <si>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</si>
  <si>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</si>
  <si>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</si>
  <si>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</si>
  <si>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</si>
  <si>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</si>
  <si>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</si>
  <si>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</si>
  <si>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</si>
  <si>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</si>
  <si>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</si>
  <si>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</si>
  <si>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</si>
  <si>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</si>
  <si>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</si>
  <si>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</si>
  <si>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</si>
  <si>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</si>
  <si>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</si>
  <si>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</si>
  <si>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</si>
  <si>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</si>
  <si>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</si>
  <si>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</si>
  <si>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</si>
  <si>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</si>
  <si>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</si>
  <si>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</si>
  <si>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</si>
  <si>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</si>
  <si>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</si>
  <si>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</si>
  <si>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</si>
  <si>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</si>
  <si>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</si>
  <si>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</si>
  <si>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</si>
  <si>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</si>
  <si>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</si>
  <si>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</si>
  <si>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</si>
  <si>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</si>
  <si>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</si>
  <si>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</si>
  <si>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</si>
  <si>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</si>
  <si>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</si>
  <si>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</si>
  <si>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</si>
  <si>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</si>
  <si>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</si>
  <si>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</si>
  <si>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</si>
  <si>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</si>
  <si>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</si>
  <si>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</si>
  <si>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</si>
  <si>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</si>
  <si>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</si>
  <si>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</si>
  <si>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</si>
  <si>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</si>
  <si>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</si>
  <si>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</si>
  <si>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</si>
  <si>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</si>
  <si>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</si>
  <si>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</si>
  <si>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</si>
  <si>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</si>
  <si>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</si>
  <si>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</si>
  <si>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</si>
  <si>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</si>
  <si>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</si>
  <si>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</si>
  <si>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</si>
  <si>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</si>
  <si>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</si>
  <si>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</si>
  <si>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</si>
  <si>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</si>
  <si>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</si>
  <si>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</si>
  <si>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</si>
  <si>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</si>
  <si>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</si>
  <si>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</si>
  <si>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</si>
  <si>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</si>
  <si>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</si>
  <si>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</si>
  <si>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</si>
  <si>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</si>
  <si>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</si>
  <si>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</si>
  <si>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</si>
  <si>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</si>
  <si>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</si>
  <si>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</si>
  <si>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</si>
  <si>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</si>
  <si>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</si>
  <si>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</si>
  <si>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</si>
  <si>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</si>
  <si>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</si>
  <si>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</si>
  <si>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</si>
  <si>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</si>
  <si>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</si>
  <si>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</si>
  <si>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</si>
  <si>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</si>
  <si>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</si>
  <si>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</si>
  <si>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</si>
  <si>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</si>
  <si>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</si>
  <si>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</si>
  <si>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</si>
  <si>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</si>
  <si>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</si>
  <si>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</si>
  <si>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</si>
  <si>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</si>
  <si>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</si>
  <si>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</si>
  <si>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</si>
  <si>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</si>
  <si>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</si>
  <si>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</si>
  <si>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</si>
  <si>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</si>
  <si>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</si>
  <si>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</si>
  <si>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</si>
  <si>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</si>
  <si>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</si>
  <si>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</si>
  <si>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</si>
  <si>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</si>
  <si>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</si>
  <si>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</si>
  <si>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</si>
  <si>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</si>
  <si>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</si>
  <si>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</si>
  <si>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</si>
  <si>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</si>
  <si>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</si>
  <si>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</si>
  <si>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</si>
  <si>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</si>
  <si>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</si>
  <si>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</si>
  <si>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</si>
  <si>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</si>
  <si>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</si>
  <si>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</si>
  <si>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</si>
  <si>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</si>
  <si>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</si>
  <si>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</si>
  <si>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</si>
  <si>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</si>
  <si>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</si>
  <si>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</si>
  <si>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</si>
  <si>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</si>
  <si>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</si>
  <si>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</si>
  <si>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</si>
  <si>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</si>
  <si>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</si>
  <si>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</si>
  <si>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</si>
  <si>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</si>
  <si>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</si>
  <si>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</si>
  <si>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</si>
  <si>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</si>
  <si>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</si>
  <si>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</si>
  <si>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</si>
  <si>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</si>
  <si>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</si>
  <si>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</si>
  <si>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</si>
  <si>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</si>
  <si>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</si>
  <si>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</si>
  <si>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</si>
  <si>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</si>
  <si>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</si>
  <si>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</si>
  <si>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</si>
  <si>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</si>
  <si>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</si>
  <si>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</si>
  <si>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</si>
  <si>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</si>
  <si>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</si>
  <si>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</si>
  <si>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</si>
  <si>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</si>
  <si>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</si>
  <si>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</si>
  <si>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</si>
  <si>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</si>
  <si>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</si>
  <si>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</si>
  <si>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</si>
  <si>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</si>
  <si>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</si>
  <si>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</si>
  <si>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</si>
  <si>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</si>
  <si>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</si>
  <si>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</si>
  <si>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</si>
  <si>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</si>
  <si>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</si>
  <si>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</si>
  <si>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</si>
  <si>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</si>
  <si>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</si>
  <si>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</si>
  <si>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</si>
  <si>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</si>
  <si>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</si>
  <si>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</si>
  <si>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</si>
  <si>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</si>
  <si>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</si>
  <si>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</si>
  <si>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</si>
  <si>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</si>
  <si>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</si>
  <si>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</si>
  <si>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</si>
  <si>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</si>
  <si>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</si>
  <si>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</si>
  <si>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</si>
  <si>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</si>
  <si>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</si>
  <si>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</si>
  <si>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</si>
  <si>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</si>
  <si>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</si>
  <si>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</si>
  <si>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</si>
  <si>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</si>
  <si>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</si>
  <si>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</si>
  <si>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</si>
  <si>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</si>
  <si>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</si>
  <si>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</si>
  <si>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</si>
  <si>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</si>
  <si>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</si>
  <si>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</si>
  <si>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</si>
  <si>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</si>
  <si>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</si>
  <si>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</si>
  <si>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</si>
  <si>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</si>
  <si>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</si>
  <si>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</si>
  <si>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</si>
  <si>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</si>
  <si>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</si>
  <si>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</si>
  <si>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</si>
  <si>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</si>
  <si>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</si>
  <si>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</si>
  <si>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</si>
  <si>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</si>
  <si>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</si>
  <si>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</si>
  <si>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</si>
  <si>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</si>
  <si>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</si>
  <si>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</si>
  <si>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</si>
  <si>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</si>
  <si>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</si>
  <si>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</si>
  <si>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</si>
  <si>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</si>
  <si>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</si>
  <si>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</si>
  <si>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</si>
  <si>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</si>
  <si>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</si>
  <si>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</si>
  <si>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</si>
  <si>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</si>
  <si>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</si>
  <si>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</si>
  <si>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</si>
  <si>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</si>
  <si>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</si>
  <si>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</si>
  <si>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</si>
  <si>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</si>
  <si>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</si>
  <si>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</si>
  <si>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</si>
  <si>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</si>
  <si>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</si>
  <si>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</si>
  <si>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</si>
  <si>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</si>
  <si>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</si>
  <si>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</si>
  <si>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</si>
  <si>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</si>
  <si>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</si>
  <si>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</si>
  <si>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</si>
  <si>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</si>
  <si>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</si>
  <si>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</si>
  <si>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</si>
  <si>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</si>
  <si>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</si>
  <si>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</si>
  <si>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</si>
  <si>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</si>
  <si>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</si>
  <si>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</si>
  <si>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</si>
  <si>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</si>
  <si>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</si>
  <si>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</si>
  <si>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</si>
  <si>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</si>
  <si>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</si>
  <si>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</si>
  <si>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</si>
  <si>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</si>
  <si>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</si>
  <si>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</si>
  <si>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</si>
  <si>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</si>
  <si>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</si>
  <si>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</si>
  <si>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</si>
  <si>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</si>
  <si>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</si>
  <si>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</si>
  <si>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</si>
  <si>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</si>
  <si>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</si>
  <si>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</si>
  <si>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</si>
  <si>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</si>
  <si>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</si>
  <si>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</si>
  <si>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</si>
  <si>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</si>
  <si>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</si>
  <si>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</si>
  <si>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</si>
  <si>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</si>
  <si>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</si>
  <si>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</si>
  <si>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</si>
  <si>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</si>
  <si>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</si>
  <si>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</si>
  <si>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</si>
  <si>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</si>
  <si>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</si>
  <si>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</si>
  <si>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</si>
  <si>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</si>
  <si>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</si>
  <si>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</si>
  <si>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</si>
  <si>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</si>
  <si>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</si>
  <si>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</si>
  <si>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</si>
  <si>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</si>
  <si>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</si>
  <si>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</si>
  <si>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</si>
  <si>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</si>
  <si>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</si>
  <si>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</si>
  <si>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</si>
  <si>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</si>
  <si>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</si>
  <si>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</si>
  <si>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</si>
  <si>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</si>
  <si>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</si>
  <si>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</si>
  <si>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</si>
  <si>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</si>
  <si>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</si>
  <si>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</si>
  <si>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</si>
  <si>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</si>
  <si>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</si>
  <si>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</si>
  <si>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</si>
  <si>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</si>
  <si>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</si>
  <si>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</si>
  <si>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</si>
  <si>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</si>
  <si>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</si>
  <si>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</si>
  <si>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</si>
  <si>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</si>
  <si>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</si>
  <si>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</si>
  <si>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</si>
  <si>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</si>
  <si>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</si>
  <si>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</si>
  <si>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</si>
  <si>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</si>
  <si>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</si>
  <si>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</si>
  <si>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</si>
  <si>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</si>
  <si>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</si>
  <si>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</si>
  <si>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</si>
  <si>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</si>
  <si>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</si>
  <si>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</si>
  <si>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</si>
  <si>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</si>
  <si>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</si>
  <si>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</si>
  <si>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</si>
  <si>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</si>
  <si>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</si>
  <si>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</si>
  <si>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</si>
  <si>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</si>
  <si>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</si>
  <si>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</si>
  <si>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</si>
  <si>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</si>
  <si>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</si>
  <si>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</si>
  <si>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</si>
  <si>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</si>
  <si>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</si>
  <si>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</si>
  <si>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</si>
  <si>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</si>
  <si>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</si>
  <si>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</si>
  <si>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</si>
  <si>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</si>
  <si>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</si>
  <si>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</si>
  <si>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</si>
  <si>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</si>
  <si>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</si>
  <si>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</si>
  <si>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</si>
  <si>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</si>
  <si>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</si>
  <si>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</si>
  <si>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</si>
  <si>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</si>
  <si>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</si>
  <si>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</si>
  <si>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</si>
  <si>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</si>
  <si>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</si>
  <si>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</si>
  <si>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</si>
  <si>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</si>
  <si>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</si>
  <si>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</si>
  <si>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</si>
  <si>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</si>
  <si>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</si>
  <si>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</si>
  <si>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</si>
  <si>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</si>
  <si>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</si>
  <si>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</si>
  <si>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</si>
  <si>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</si>
  <si>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</si>
  <si>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</si>
  <si>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</si>
  <si>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</si>
  <si>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</si>
  <si>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</si>
  <si>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</si>
  <si>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</si>
  <si>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</si>
  <si>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</si>
  <si>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</si>
  <si>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</si>
  <si>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</si>
  <si>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</si>
  <si>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</si>
  <si>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</si>
  <si>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</si>
  <si>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</si>
  <si>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</si>
  <si>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</si>
  <si>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</si>
  <si>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</si>
  <si>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</si>
  <si>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</si>
  <si>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</si>
  <si>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</si>
  <si>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</si>
  <si>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</si>
  <si>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</si>
  <si>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</si>
  <si>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</si>
  <si>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</si>
  <si>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</si>
  <si>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</si>
  <si>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</si>
  <si>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</si>
  <si>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</si>
  <si>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</si>
  <si>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</si>
  <si>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</si>
  <si>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</si>
  <si>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</si>
  <si>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</si>
  <si>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</si>
  <si>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</si>
  <si>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</si>
  <si>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</si>
  <si>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</si>
  <si>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</si>
  <si>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</si>
  <si>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</si>
  <si>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</si>
  <si>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</si>
  <si>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</si>
  <si>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</si>
  <si>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</si>
  <si>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</si>
  <si>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</si>
  <si>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</si>
  <si>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</si>
  <si>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</si>
  <si>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</si>
  <si>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</si>
  <si>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</si>
  <si>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</si>
  <si>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</si>
  <si>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</si>
  <si>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</si>
  <si>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</si>
  <si>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</si>
  <si>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</si>
  <si>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</si>
  <si>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</si>
  <si>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</si>
  <si>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</si>
  <si>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</si>
  <si>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</si>
  <si>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</si>
  <si>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</si>
  <si>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</si>
  <si>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</si>
  <si>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</si>
  <si>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</si>
  <si>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</si>
  <si>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</si>
  <si>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</si>
  <si>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</si>
  <si>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</si>
  <si>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</si>
  <si>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</si>
  <si>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</si>
  <si>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</si>
  <si>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</si>
  <si>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</si>
  <si>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</si>
  <si>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</si>
  <si>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</si>
  <si>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</si>
  <si>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</si>
  <si>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</si>
  <si>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</si>
  <si>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</si>
  <si>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</si>
  <si>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</si>
  <si>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</si>
  <si>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</si>
  <si>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</si>
  <si>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</si>
  <si>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</si>
  <si>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</si>
  <si>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</si>
  <si>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</si>
  <si>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</si>
  <si>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</si>
  <si>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</si>
  <si>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</si>
  <si>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</si>
  <si>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</si>
  <si>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</si>
  <si>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</si>
  <si>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</si>
  <si>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</si>
  <si>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</si>
  <si>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</si>
  <si>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</si>
  <si>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</si>
  <si>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</si>
  <si>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</si>
  <si>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</si>
  <si>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</si>
  <si>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</si>
  <si>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</si>
  <si>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</si>
  <si>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</si>
  <si>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</si>
  <si>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</si>
  <si>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</si>
  <si>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</si>
  <si>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</si>
  <si>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</si>
  <si>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</si>
  <si>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</si>
  <si>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</si>
  <si>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</si>
  <si>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</si>
  <si>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</si>
  <si>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</si>
  <si>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</si>
  <si>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</si>
  <si>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</si>
  <si>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</si>
  <si>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</si>
  <si>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</si>
  <si>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</si>
  <si>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</si>
  <si>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</si>
  <si>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</si>
  <si>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</si>
  <si>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</si>
  <si>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</si>
  <si>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</si>
  <si>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</si>
  <si>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</si>
  <si>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</si>
  <si>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</si>
  <si>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</si>
  <si>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</si>
  <si>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</si>
  <si>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</si>
  <si>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</si>
  <si>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</si>
  <si>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</si>
  <si>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</si>
  <si>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</si>
  <si>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</si>
  <si>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</si>
  <si>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</si>
  <si>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</si>
  <si>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</si>
  <si>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</si>
  <si>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</si>
  <si>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</si>
  <si>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</si>
  <si>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</si>
  <si>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</si>
  <si>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</si>
  <si>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</si>
  <si>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</si>
  <si>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</si>
  <si>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</si>
  <si>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</si>
  <si>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</si>
  <si>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</si>
  <si>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</si>
  <si>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</si>
  <si>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</si>
  <si>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</si>
  <si>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</si>
  <si>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</si>
  <si>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</si>
  <si>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</si>
  <si>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</si>
  <si>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</si>
  <si>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</si>
  <si>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</si>
  <si>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</si>
  <si>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</si>
  <si>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</si>
  <si>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</si>
  <si>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</si>
  <si>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</si>
  <si>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</si>
  <si>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</si>
  <si>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</si>
  <si>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</si>
  <si>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</si>
  <si>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</si>
  <si>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</si>
  <si>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</si>
  <si>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</si>
  <si>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</si>
  <si>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</si>
  <si>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</si>
  <si>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</si>
  <si>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</si>
  <si>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</si>
  <si>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</si>
  <si>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</si>
  <si>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</si>
  <si>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</si>
  <si>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</si>
  <si>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</si>
  <si>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</si>
  <si>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</si>
  <si>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</si>
  <si>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</si>
  <si>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</si>
  <si>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</si>
  <si>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</si>
  <si>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</si>
  <si>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</si>
  <si>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</si>
  <si>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</si>
  <si>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</si>
  <si>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</si>
  <si>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</si>
  <si>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</si>
  <si>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</si>
  <si>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</si>
  <si>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</si>
  <si>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</si>
  <si>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</si>
  <si>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</si>
  <si>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</si>
  <si>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</si>
  <si>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</si>
  <si>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</si>
  <si>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</si>
  <si>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</si>
  <si>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</si>
  <si>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</si>
  <si>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</si>
  <si>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</si>
  <si>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</si>
  <si>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</si>
  <si>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</si>
  <si>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</si>
  <si>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</si>
  <si>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</si>
  <si>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</si>
  <si>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</si>
  <si>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</si>
  <si>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</si>
  <si>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</si>
  <si>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</si>
  <si>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</si>
  <si>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</si>
  <si>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</si>
  <si>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</si>
  <si>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</si>
  <si>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</si>
  <si>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</si>
  <si>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</si>
  <si>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</si>
  <si>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</si>
  <si>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</si>
  <si>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</si>
  <si>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</si>
  <si>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</si>
  <si>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</si>
  <si>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</si>
  <si>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</si>
  <si>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</si>
  <si>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</si>
  <si>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</si>
  <si>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</si>
  <si>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</si>
  <si>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</si>
  <si>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</si>
  <si>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</si>
  <si>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</si>
  <si>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</si>
  <si>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</si>
  <si>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</si>
  <si>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</si>
  <si>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</si>
  <si>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</si>
  <si>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</si>
  <si>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</si>
  <si>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</si>
  <si>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</si>
  <si>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</si>
  <si>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</si>
  <si>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</si>
  <si>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</si>
  <si>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</si>
  <si>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</si>
  <si>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</si>
  <si>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</si>
  <si>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</si>
  <si>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</si>
  <si>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</si>
  <si>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</si>
  <si>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</si>
  <si>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</si>
  <si>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</si>
  <si>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</si>
  <si>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</si>
  <si>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</si>
  <si>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</si>
  <si>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</si>
  <si>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</si>
  <si>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</si>
  <si>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</si>
  <si>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</si>
  <si>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</si>
  <si>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</si>
  <si>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</si>
  <si>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</si>
  <si>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</si>
  <si>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</si>
  <si>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</si>
  <si>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</si>
  <si>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</si>
  <si>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</si>
  <si>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</si>
  <si>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</si>
  <si>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</si>
  <si>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</si>
  <si>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</si>
  <si>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</si>
  <si>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</si>
  <si>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</si>
  <si>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</si>
  <si>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</si>
  <si>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</si>
  <si>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</si>
  <si>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</si>
  <si>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</si>
  <si>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</si>
  <si>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</si>
  <si>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</si>
  <si>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</si>
  <si>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</si>
  <si>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</si>
  <si>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</si>
  <si>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</si>
  <si>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</si>
  <si>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</si>
  <si>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</si>
  <si>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</si>
  <si>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</si>
  <si>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</si>
  <si>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</si>
  <si>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</si>
  <si>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</si>
  <si>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</si>
  <si>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</si>
  <si>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</si>
  <si>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</si>
  <si>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</si>
  <si>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</si>
  <si>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</si>
  <si>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</si>
  <si>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</si>
  <si>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</si>
  <si>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</si>
  <si>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</si>
  <si>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</si>
  <si>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</si>
  <si>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</si>
  <si>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</si>
  <si>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</si>
  <si>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</si>
  <si>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</si>
  <si>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</si>
  <si>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</si>
  <si>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</si>
  <si>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</si>
  <si>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</si>
  <si>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</si>
  <si>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</si>
  <si>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</si>
  <si>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</si>
  <si>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</si>
  <si>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</si>
  <si>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</si>
  <si>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</si>
  <si>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</si>
  <si>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</si>
  <si>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</si>
  <si>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</si>
  <si>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</si>
  <si>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</si>
  <si>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</si>
  <si>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</si>
  <si>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</si>
  <si>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</si>
  <si>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</si>
  <si>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</si>
  <si>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</si>
  <si>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</si>
  <si>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</si>
  <si>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</si>
  <si>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</si>
  <si>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</si>
  <si>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</si>
  <si>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</si>
  <si>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</si>
  <si>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</si>
  <si>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</si>
  <si>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</si>
  <si>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</si>
  <si>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</si>
  <si>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</si>
  <si>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</si>
  <si>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</si>
  <si>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</si>
  <si>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</si>
  <si>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</si>
  <si>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</si>
  <si>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</si>
  <si>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</si>
  <si>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</si>
  <si>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</si>
  <si>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</si>
  <si>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</si>
  <si>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</si>
  <si>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</si>
  <si>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</si>
  <si>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</si>
  <si>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</si>
  <si>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</si>
  <si>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</si>
  <si>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</si>
  <si>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</si>
  <si>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</si>
  <si>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</si>
  <si>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</si>
  <si>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</si>
  <si>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</si>
  <si>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</si>
  <si>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</si>
  <si>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</si>
  <si>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</si>
  <si>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</si>
  <si>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</si>
  <si>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</si>
  <si>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</si>
  <si>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</si>
  <si>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</si>
  <si>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</si>
  <si>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</si>
  <si>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</si>
  <si>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</si>
  <si>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</si>
  <si>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</si>
  <si>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</si>
  <si>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</si>
  <si>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</si>
  <si>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</si>
  <si>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</si>
  <si>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</si>
  <si>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</si>
  <si>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</si>
  <si>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</si>
  <si>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</si>
  <si>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</si>
  <si>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</si>
  <si>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</si>
  <si>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</si>
  <si>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</si>
  <si>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</si>
  <si>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</si>
  <si>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</si>
  <si>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</si>
  <si>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</si>
  <si>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</si>
  <si>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</si>
  <si>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</si>
  <si>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</si>
  <si>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</si>
  <si>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</si>
  <si>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</si>
  <si>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</si>
  <si>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</si>
  <si>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</si>
  <si>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</si>
  <si>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</si>
  <si>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</si>
  <si>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</si>
  <si>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</si>
  <si>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</si>
  <si>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</si>
  <si>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</si>
  <si>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</si>
  <si>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</si>
  <si>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</si>
  <si>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</si>
  <si>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</si>
  <si>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</si>
  <si>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</si>
  <si>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</si>
  <si>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</si>
  <si>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</si>
  <si>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</si>
  <si>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</si>
  <si>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</si>
  <si>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</si>
  <si>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</si>
  <si>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</si>
  <si>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</si>
  <si>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</si>
  <si>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</si>
  <si>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</si>
  <si>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</si>
  <si>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</si>
  <si>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</si>
  <si>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</si>
  <si>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</si>
  <si>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</si>
  <si>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</si>
  <si>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</si>
  <si>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</si>
  <si>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</si>
  <si>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</si>
  <si>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</si>
  <si>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</si>
  <si>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</si>
  <si>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</si>
  <si>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</si>
  <si>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</si>
  <si>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</si>
  <si>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</si>
  <si>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</si>
  <si>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</si>
  <si>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</si>
  <si>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</si>
  <si>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</si>
  <si>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</si>
  <si>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</si>
  <si>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</si>
  <si>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</si>
  <si>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</si>
  <si>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</si>
  <si>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</si>
  <si>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</si>
  <si>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</si>
  <si>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</si>
  <si>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</si>
  <si>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</si>
  <si>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</si>
  <si>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</si>
  <si>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</si>
  <si>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</si>
  <si>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</si>
  <si>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</si>
  <si>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</si>
  <si>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</si>
  <si>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</si>
  <si>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</si>
  <si>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</si>
  <si>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</si>
  <si>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</si>
  <si>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</si>
  <si>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</si>
  <si>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</si>
  <si>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</si>
  <si>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</si>
  <si>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</si>
  <si>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</si>
  <si>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</si>
  <si>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</si>
  <si>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</si>
  <si>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</si>
  <si>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</si>
  <si>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</si>
  <si>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</si>
  <si>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</si>
  <si>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</si>
  <si>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</si>
  <si>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</si>
  <si>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</si>
  <si>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</si>
  <si>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</si>
  <si>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</si>
  <si>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</si>
  <si>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</si>
  <si>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</si>
  <si>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</si>
  <si>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</si>
  <si>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</si>
  <si>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</si>
  <si>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</si>
  <si>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</si>
  <si>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</si>
  <si>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</si>
  <si>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</si>
  <si>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</si>
  <si>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</si>
  <si>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</si>
  <si>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</si>
  <si>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</si>
  <si>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</si>
  <si>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</si>
  <si>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</si>
  <si>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</si>
  <si>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</si>
  <si>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</si>
  <si>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</si>
  <si>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</si>
  <si>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</si>
  <si>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</si>
  <si>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</si>
  <si>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</si>
  <si>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</si>
  <si>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</si>
  <si>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</si>
  <si>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</si>
  <si>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</si>
  <si>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</si>
  <si>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</si>
  <si>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</si>
  <si>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</si>
  <si>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</si>
  <si>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</si>
  <si>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</si>
  <si>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</si>
  <si>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</si>
  <si>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</si>
  <si>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</si>
  <si>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</si>
  <si>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</si>
  <si>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</si>
  <si>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</si>
  <si>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</si>
  <si>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</si>
  <si>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</si>
  <si>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</si>
  <si>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</si>
  <si>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</si>
  <si>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</si>
  <si>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</si>
  <si>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</si>
  <si>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</si>
  <si>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</si>
  <si>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</si>
  <si>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</si>
  <si>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</si>
  <si>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</si>
  <si>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</si>
  <si>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</si>
  <si>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</si>
  <si>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</si>
  <si>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</si>
  <si>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</si>
  <si>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</si>
  <si>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</si>
  <si>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</si>
  <si>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</si>
  <si>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</si>
  <si>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</si>
  <si>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</si>
  <si>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</si>
  <si>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</si>
  <si>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</si>
  <si>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</si>
  <si>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</si>
  <si>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</si>
  <si>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</si>
  <si>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</si>
  <si>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</si>
  <si>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</si>
  <si>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</si>
  <si>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</si>
  <si>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</si>
  <si>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</si>
  <si>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</si>
  <si>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</si>
  <si>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</si>
  <si>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</si>
  <si>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</si>
  <si>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</si>
  <si>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</si>
  <si>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</si>
  <si>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</si>
  <si>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</si>
  <si>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</si>
  <si>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</si>
  <si>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</si>
  <si>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</si>
  <si>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</si>
  <si>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</si>
  <si>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</si>
  <si>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</si>
  <si>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</si>
  <si>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</si>
  <si>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</si>
  <si>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</si>
  <si>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</si>
  <si>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</si>
  <si>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</si>
  <si>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</si>
  <si>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</si>
  <si>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</si>
  <si>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</si>
  <si>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</si>
  <si>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</si>
  <si>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</si>
  <si>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</si>
  <si>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</si>
  <si>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</si>
  <si>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</si>
  <si>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</si>
  <si>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</si>
  <si>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</si>
  <si>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</si>
  <si>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</si>
  <si>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</si>
  <si>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</si>
  <si>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</si>
  <si>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</si>
  <si>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</si>
  <si>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</si>
  <si>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</si>
  <si>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</si>
  <si>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</si>
  <si>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</si>
  <si>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</si>
  <si>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</si>
  <si>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</si>
  <si>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</si>
  <si>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</si>
  <si>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</si>
  <si>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</si>
  <si>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</si>
  <si>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</si>
  <si>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</si>
  <si>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</si>
  <si>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</si>
  <si>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</si>
  <si>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</si>
  <si>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</si>
  <si>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</si>
  <si>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</si>
  <si>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</si>
  <si>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</si>
  <si>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</si>
  <si>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</si>
  <si>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</si>
  <si>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</si>
  <si>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</si>
  <si>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</si>
  <si>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</si>
  <si>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</si>
  <si>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</si>
  <si>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</si>
  <si>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</si>
  <si>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</si>
  <si>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</si>
  <si>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</si>
  <si>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</si>
  <si>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</si>
  <si>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</si>
  <si>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</si>
  <si>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</si>
  <si>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</si>
  <si>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</si>
  <si>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</si>
  <si>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</si>
  <si>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</si>
  <si>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</si>
  <si>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</si>
  <si>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</si>
  <si>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</si>
  <si>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</si>
  <si>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</si>
  <si>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</si>
  <si>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</si>
  <si>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</si>
  <si>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</si>
  <si>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</si>
  <si>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</si>
  <si>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</si>
  <si>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</si>
  <si>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</si>
  <si>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</si>
  <si>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</si>
  <si>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</si>
  <si>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</si>
  <si>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</si>
  <si>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</si>
  <si>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</si>
  <si>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</si>
  <si>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</si>
  <si>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</si>
  <si>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</si>
  <si>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</si>
  <si>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</si>
  <si>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</si>
  <si>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</si>
  <si>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</si>
  <si>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</si>
  <si>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</si>
  <si>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</si>
  <si>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</si>
  <si>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</si>
  <si>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</si>
  <si>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</si>
  <si>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</si>
  <si>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</si>
  <si>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</si>
  <si>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</si>
  <si>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</si>
  <si>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</si>
  <si>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</si>
  <si>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</si>
  <si>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</si>
  <si>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</si>
  <si>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</si>
  <si>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</si>
  <si>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</si>
  <si>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</si>
  <si>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</si>
  <si>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</si>
  <si>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</si>
  <si>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</si>
  <si>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</si>
  <si>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</si>
  <si>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</si>
  <si>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</si>
  <si>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</si>
  <si>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</si>
  <si>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</si>
  <si>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</si>
  <si>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</si>
  <si>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</si>
  <si>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</si>
  <si>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</si>
  <si>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</si>
  <si>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</si>
  <si>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</si>
  <si>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</si>
  <si>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</si>
  <si>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</si>
  <si>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</si>
  <si>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</si>
  <si>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</si>
  <si>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</si>
  <si>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</si>
  <si>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</si>
  <si>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</si>
  <si>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</si>
  <si>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</si>
  <si>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</si>
  <si>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</si>
  <si>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</si>
  <si>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</si>
  <si>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</si>
  <si>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</si>
  <si>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</si>
  <si>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</si>
  <si>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</si>
  <si>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</si>
  <si>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</si>
  <si>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</si>
  <si>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</si>
  <si>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</si>
  <si>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</si>
  <si>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</si>
  <si>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</si>
  <si>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</si>
  <si>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</si>
  <si>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</si>
  <si>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</si>
  <si>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</si>
  <si>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</si>
  <si>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</si>
  <si>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</si>
  <si>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</si>
  <si>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</si>
  <si>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</si>
  <si>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</si>
  <si>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</si>
  <si>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</si>
  <si>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</si>
  <si>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</si>
  <si>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</si>
  <si>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</si>
  <si>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</si>
  <si>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</si>
  <si>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</si>
  <si>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</si>
  <si>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</si>
  <si>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</si>
  <si>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</si>
  <si>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</si>
  <si>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</si>
  <si>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</si>
  <si>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</si>
  <si>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</si>
  <si>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</si>
  <si>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</si>
  <si>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</si>
  <si>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</si>
  <si>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</si>
  <si>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</si>
  <si>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</si>
  <si>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</si>
  <si>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</si>
  <si>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</si>
  <si>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</si>
  <si>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</si>
  <si>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</si>
  <si>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</si>
  <si>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</si>
  <si>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</si>
  <si>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</si>
  <si>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</si>
  <si>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</si>
  <si>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</si>
  <si>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</si>
  <si>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</si>
  <si>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</si>
  <si>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</si>
  <si>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</si>
  <si>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</si>
  <si>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</si>
  <si>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</si>
  <si>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</si>
  <si>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</si>
  <si>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</si>
  <si>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</si>
  <si>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</si>
  <si>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</si>
  <si>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</si>
  <si>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</si>
  <si>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</si>
  <si>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</si>
  <si>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</si>
  <si>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</si>
  <si>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</si>
  <si>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</si>
  <si>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</si>
  <si>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</si>
  <si>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</si>
  <si>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</si>
  <si>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</si>
  <si>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</si>
  <si>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</si>
  <si>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</si>
  <si>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</si>
  <si>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</si>
  <si>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</si>
  <si>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</si>
  <si>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</si>
  <si>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</si>
  <si>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</si>
  <si>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</si>
  <si>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</si>
  <si>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</si>
  <si>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</si>
  <si>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</si>
  <si>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</si>
  <si>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</si>
  <si>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</si>
  <si>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</si>
  <si>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</si>
  <si>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</si>
  <si>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</si>
  <si>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</si>
  <si>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</si>
  <si>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</si>
  <si>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</si>
  <si>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</si>
  <si>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</si>
  <si>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</si>
  <si>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</si>
  <si>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</si>
  <si>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</si>
  <si>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</si>
  <si>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</si>
  <si>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</si>
  <si>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</si>
  <si>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</si>
  <si>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</si>
  <si>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</si>
  <si>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</si>
  <si>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</si>
  <si>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</si>
  <si>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</si>
  <si>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</si>
  <si>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</si>
  <si>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</si>
  <si>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</si>
  <si>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</si>
  <si>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</si>
  <si>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</si>
  <si>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</si>
  <si>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</si>
  <si>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</si>
  <si>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</si>
  <si>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</si>
  <si>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</si>
  <si>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</si>
  <si>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</si>
  <si>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</si>
  <si>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</si>
  <si>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</si>
  <si>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</si>
  <si>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</si>
  <si>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</si>
  <si>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</si>
  <si>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</si>
  <si>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</si>
  <si>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</si>
  <si>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</si>
  <si>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</si>
  <si>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</si>
  <si>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</si>
  <si>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</si>
  <si>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</si>
  <si>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</si>
  <si>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</si>
  <si>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</si>
  <si>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</si>
  <si>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</si>
  <si>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</si>
  <si>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</si>
  <si>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</si>
  <si>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</si>
  <si>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</si>
  <si>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</si>
  <si>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</si>
  <si>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</si>
  <si>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</si>
  <si>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</si>
  <si>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</si>
  <si>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</si>
  <si>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</si>
  <si>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</si>
  <si>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</si>
  <si>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</si>
  <si>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</si>
  <si>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</si>
  <si>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</si>
  <si>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</si>
  <si>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</si>
  <si>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</si>
  <si>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</si>
  <si>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</si>
  <si>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</si>
  <si>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</si>
  <si>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</si>
  <si>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</si>
  <si>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</si>
  <si>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</si>
  <si>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</si>
  <si>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</si>
  <si>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</si>
  <si>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</si>
  <si>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</si>
  <si>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</si>
  <si>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</si>
  <si>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</si>
  <si>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</si>
  <si>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</si>
  <si>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</si>
  <si>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</si>
  <si>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</si>
  <si>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</si>
  <si>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</si>
  <si>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</si>
  <si>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</si>
  <si>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</si>
  <si>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</si>
  <si>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</si>
  <si>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</si>
  <si>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</si>
  <si>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</si>
  <si>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</si>
  <si>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</si>
  <si>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</si>
  <si>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</si>
  <si>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</si>
  <si>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</si>
  <si>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</si>
  <si>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</si>
  <si>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</si>
  <si>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</si>
  <si>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</si>
  <si>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</si>
  <si>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</si>
  <si>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</si>
  <si>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</si>
  <si>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</si>
  <si>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</si>
  <si>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</si>
  <si>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</si>
  <si>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</si>
  <si>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</si>
  <si>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</si>
  <si>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</si>
  <si>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</si>
  <si>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</si>
  <si>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</si>
  <si>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</si>
  <si>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</si>
  <si>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</si>
  <si>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</si>
  <si>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</si>
  <si>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</si>
  <si>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</si>
  <si>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</si>
  <si>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</si>
  <si>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</si>
  <si>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</si>
  <si>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</si>
  <si>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</si>
  <si>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</si>
  <si>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</si>
  <si>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</si>
  <si>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</si>
  <si>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</si>
  <si>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</si>
  <si>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</si>
  <si>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</si>
  <si>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</si>
  <si>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</si>
  <si>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</si>
  <si>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</si>
  <si>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</si>
  <si>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</si>
  <si>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</si>
  <si>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</si>
  <si>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</si>
  <si>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</si>
  <si>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</si>
  <si>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</si>
  <si>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</si>
  <si>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</si>
  <si>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</si>
  <si>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</si>
  <si>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</si>
  <si>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</si>
  <si>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</si>
  <si>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</si>
  <si>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</si>
  <si>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</si>
  <si>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</si>
  <si>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</si>
  <si>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</si>
  <si>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</si>
  <si>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</si>
  <si>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</si>
  <si>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</si>
  <si>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</si>
  <si>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</si>
  <si>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</si>
  <si>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</si>
  <si>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</si>
  <si>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</si>
  <si>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</si>
  <si>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</si>
  <si>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</si>
  <si>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</si>
  <si>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</si>
  <si>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</si>
  <si>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</si>
  <si>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</si>
  <si>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</si>
  <si>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</si>
  <si>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</si>
  <si>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</si>
  <si>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</si>
  <si>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</si>
  <si>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</si>
  <si>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</si>
  <si>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</si>
  <si>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</si>
  <si>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</si>
  <si>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</si>
  <si>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</si>
  <si>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</si>
  <si>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</si>
  <si>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</si>
  <si>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</si>
  <si>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</si>
  <si>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</si>
  <si>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</si>
  <si>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</si>
  <si>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</si>
  <si>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</si>
  <si>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</si>
  <si>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</si>
  <si>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</si>
  <si>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</si>
  <si>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</si>
  <si>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</si>
  <si>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</si>
  <si>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</si>
  <si>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</si>
  <si>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</si>
  <si>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</si>
  <si>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</si>
  <si>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</si>
  <si>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</si>
  <si>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</si>
  <si>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</si>
  <si>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</si>
  <si>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</si>
  <si>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</si>
  <si>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</si>
  <si>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</si>
  <si>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</si>
  <si>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</si>
  <si>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</si>
  <si>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</si>
  <si>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</si>
  <si>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</si>
  <si>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</si>
  <si>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</si>
  <si>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</si>
  <si>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</si>
  <si>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</si>
  <si>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</si>
  <si>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</si>
  <si>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</si>
  <si>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</si>
  <si>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</si>
  <si>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</si>
  <si>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</si>
  <si>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</si>
  <si>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</si>
  <si>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</si>
  <si>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</si>
  <si>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</si>
  <si>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</si>
  <si>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</si>
  <si>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</si>
  <si>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</si>
  <si>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</si>
  <si>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</si>
  <si>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</si>
  <si>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</si>
  <si>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</si>
  <si>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</si>
  <si>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</si>
  <si>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</si>
  <si>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</si>
  <si>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</si>
  <si>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</si>
  <si>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</si>
  <si>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</si>
  <si>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</si>
  <si>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</si>
  <si>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</si>
  <si>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</si>
  <si>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</si>
  <si>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</si>
  <si>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</si>
  <si>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</si>
  <si>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</si>
  <si>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</si>
  <si>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</si>
  <si>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</si>
  <si>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</si>
  <si>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</si>
  <si>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</si>
  <si>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</si>
  <si>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</si>
  <si>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</si>
  <si>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</si>
  <si>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</si>
  <si>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</si>
  <si>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</si>
  <si>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</si>
  <si>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</si>
  <si>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</si>
  <si>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</si>
  <si>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</si>
  <si>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</si>
  <si>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</si>
  <si>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</si>
  <si>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</si>
  <si>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</si>
  <si>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</si>
  <si>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</si>
  <si>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</si>
  <si>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</si>
  <si>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</si>
  <si>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</si>
  <si>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</si>
  <si>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</si>
  <si>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</si>
  <si>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</si>
  <si>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</si>
  <si>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</si>
  <si>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</si>
  <si>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</si>
  <si>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</si>
  <si>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</si>
  <si>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</si>
  <si>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</si>
  <si>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</si>
  <si>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</si>
  <si>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</si>
  <si>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</si>
  <si>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</si>
  <si>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</si>
  <si>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</si>
  <si>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</si>
  <si>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</si>
  <si>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</si>
  <si>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</si>
  <si>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</si>
  <si>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</si>
  <si>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</si>
  <si>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</si>
  <si>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</si>
  <si>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</si>
  <si>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</si>
  <si>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</si>
  <si>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</si>
  <si>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</si>
  <si>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</si>
  <si>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</si>
  <si>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</si>
  <si>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</si>
  <si>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</si>
  <si>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</si>
  <si>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</si>
  <si>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</si>
  <si>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</si>
  <si>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</si>
  <si>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</si>
  <si>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</si>
  <si>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</si>
  <si>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</si>
  <si>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</si>
  <si>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</si>
  <si>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</si>
  <si>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</si>
  <si>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</si>
  <si>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</si>
  <si>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</si>
  <si>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</si>
  <si>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</si>
  <si>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</si>
  <si>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</si>
  <si>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</si>
  <si>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</si>
  <si>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</si>
  <si>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</si>
  <si>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</si>
  <si>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</si>
  <si>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</si>
  <si>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</si>
  <si>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</si>
  <si>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</si>
  <si>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</si>
  <si>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</si>
  <si>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</si>
  <si>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</si>
  <si>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</si>
  <si>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</si>
  <si>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</si>
  <si>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</si>
  <si>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</si>
  <si>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</si>
  <si>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</si>
  <si>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</si>
  <si>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</si>
  <si>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</si>
  <si>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</si>
  <si>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</si>
  <si>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</si>
  <si>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</si>
  <si>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</si>
  <si>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</si>
  <si>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</si>
  <si>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</si>
  <si>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</si>
  <si>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</si>
  <si>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</si>
  <si>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</si>
  <si>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</si>
  <si>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</si>
  <si>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</si>
  <si>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</si>
  <si>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</si>
  <si>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</si>
  <si>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</si>
  <si>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</si>
  <si>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</si>
  <si>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</si>
  <si>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</si>
  <si>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</si>
  <si>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</si>
  <si>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</si>
  <si>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</si>
  <si>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</si>
  <si>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</si>
  <si>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</si>
  <si>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</si>
  <si>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</si>
  <si>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</si>
  <si>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</si>
  <si>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</si>
  <si>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</si>
  <si>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</si>
  <si>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</si>
  <si>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</si>
  <si>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</si>
  <si>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</si>
  <si>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</si>
  <si>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</si>
  <si>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</si>
  <si>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</si>
  <si>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</si>
  <si>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</si>
  <si>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</si>
  <si>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</si>
  <si>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</si>
  <si>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</si>
  <si>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</si>
  <si>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</si>
  <si>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</si>
  <si>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</si>
  <si>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</si>
  <si>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</si>
  <si>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</si>
  <si>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</si>
  <si>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</si>
  <si>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</si>
  <si>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</si>
  <si>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</si>
  <si>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</si>
  <si>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</si>
  <si>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</si>
  <si>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</si>
  <si>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</si>
  <si>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</si>
  <si>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</si>
  <si>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</si>
  <si>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</si>
  <si>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</si>
  <si>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</si>
  <si>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</si>
  <si>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</si>
  <si>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</si>
  <si>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</si>
  <si>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</si>
  <si>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</si>
  <si>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</si>
  <si>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</si>
  <si>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</si>
  <si>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</si>
  <si>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</si>
  <si>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</si>
  <si>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</si>
  <si>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</si>
  <si>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</si>
  <si>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</si>
  <si>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</si>
  <si>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</si>
  <si>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</si>
  <si>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</si>
  <si>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</si>
  <si>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</si>
  <si>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</si>
  <si>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</si>
  <si>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</si>
  <si>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</si>
  <si>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</si>
  <si>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</si>
  <si>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</si>
  <si>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</si>
  <si>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</si>
  <si>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</si>
  <si>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</si>
  <si>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</si>
  <si>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</si>
  <si>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</si>
  <si>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</si>
  <si>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</si>
  <si>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</si>
  <si>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</si>
  <si>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</si>
  <si>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</si>
  <si>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</si>
  <si>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</si>
  <si>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</si>
  <si>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</si>
  <si>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</si>
  <si>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</si>
  <si>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</si>
  <si>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</si>
  <si>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</si>
  <si>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</si>
  <si>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</si>
  <si>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</si>
  <si>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</si>
  <si>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</si>
  <si>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</si>
  <si>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</si>
  <si>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</si>
  <si>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</si>
  <si>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</si>
  <si>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</si>
  <si>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</si>
  <si>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</si>
  <si>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</si>
  <si>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</si>
  <si>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</si>
  <si>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</si>
  <si>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</si>
  <si>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</si>
  <si>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</si>
  <si>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</si>
  <si>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</si>
  <si>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</si>
  <si>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</si>
  <si>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</si>
  <si>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</si>
  <si>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</si>
  <si>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</si>
  <si>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</si>
  <si>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</si>
  <si>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</si>
  <si>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</si>
  <si>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</si>
  <si>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</si>
  <si>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</si>
  <si>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</si>
  <si>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</si>
  <si>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</si>
  <si>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</si>
  <si>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</si>
  <si>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</si>
  <si>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</si>
  <si>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</si>
  <si>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</si>
  <si>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</si>
  <si>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</si>
  <si>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</si>
  <si>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</si>
  <si>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</si>
  <si>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</si>
  <si>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</si>
  <si>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</si>
  <si>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</si>
  <si>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</si>
  <si>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</si>
  <si>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</si>
  <si>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</si>
  <si>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</si>
  <si>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</si>
  <si>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</si>
  <si>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</si>
  <si>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</si>
  <si>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</si>
  <si>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</si>
  <si>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</si>
  <si>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</si>
  <si>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</si>
  <si>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</si>
  <si>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</si>
  <si>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</si>
  <si>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</si>
  <si>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</si>
  <si>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</si>
  <si>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</si>
  <si>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</si>
  <si>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</si>
  <si>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</si>
  <si>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</si>
  <si>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</si>
  <si>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</si>
  <si>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</si>
  <si>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</si>
  <si>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</si>
  <si>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</si>
  <si>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</si>
  <si>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</si>
  <si>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</si>
  <si>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</si>
  <si>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</si>
  <si>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</si>
  <si>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</si>
  <si>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</si>
  <si>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</si>
  <si>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</si>
  <si>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</si>
  <si>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</si>
  <si>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</si>
  <si>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</si>
  <si>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</si>
  <si>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</si>
  <si>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</si>
  <si>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</si>
  <si>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</si>
  <si>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</si>
  <si>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</si>
  <si>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</si>
  <si>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</si>
  <si>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</si>
  <si>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</si>
  <si>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</si>
  <si>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</si>
  <si>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</si>
  <si>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</si>
  <si>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</si>
  <si>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</si>
  <si>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</si>
  <si>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</si>
  <si>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</si>
  <si>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</si>
  <si>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</si>
  <si>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</si>
  <si>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</si>
  <si>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</si>
  <si>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</si>
  <si>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</si>
  <si>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</si>
  <si>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</si>
  <si>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</si>
  <si>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</si>
  <si>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</si>
  <si>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</si>
  <si>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</si>
  <si>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</si>
  <si>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</si>
  <si>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</si>
  <si>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</si>
  <si>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</si>
  <si>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</si>
  <si>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</si>
  <si>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</si>
  <si>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</si>
  <si>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</si>
  <si>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</si>
  <si>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</si>
  <si>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</si>
  <si>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</si>
  <si>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</si>
  <si>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</si>
  <si>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</si>
  <si>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</si>
  <si>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</si>
  <si>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</si>
  <si>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</si>
  <si>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</si>
  <si>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</si>
  <si>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</si>
  <si>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</si>
  <si>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</si>
  <si>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</si>
  <si>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</si>
  <si>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</si>
  <si>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</si>
  <si>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</si>
  <si>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</si>
  <si>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</si>
  <si>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</si>
  <si>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</si>
  <si>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</si>
  <si>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</si>
  <si>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</si>
  <si>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</si>
  <si>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</si>
  <si>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</si>
  <si>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</si>
  <si>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</si>
  <si>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</si>
  <si>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</si>
  <si>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</si>
  <si>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</si>
  <si>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</si>
  <si>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</si>
  <si>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</si>
  <si>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</si>
  <si>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</si>
  <si>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</si>
  <si>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</si>
  <si>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</si>
  <si>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</si>
  <si>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</si>
  <si>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</si>
  <si>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</si>
  <si>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</si>
  <si>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</si>
  <si>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</si>
  <si>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</si>
  <si>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</si>
  <si>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</si>
  <si>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</si>
  <si>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</si>
  <si>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</si>
  <si>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</si>
  <si>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</si>
  <si>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</si>
  <si>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</si>
  <si>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</si>
  <si>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</si>
  <si>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</si>
  <si>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</si>
  <si>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</si>
  <si>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</si>
  <si>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</si>
  <si>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</si>
  <si>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</si>
  <si>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</si>
  <si>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</si>
  <si>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</si>
  <si>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</si>
  <si>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</si>
  <si>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</si>
  <si>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</si>
  <si>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</si>
  <si>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</si>
  <si>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</si>
  <si>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</si>
  <si>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</si>
  <si>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</si>
  <si>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</si>
  <si>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</si>
  <si>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</si>
  <si>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</si>
  <si>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</si>
  <si>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</si>
  <si>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</si>
  <si>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</si>
  <si>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</si>
  <si>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</si>
  <si>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</si>
  <si>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</si>
  <si>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</si>
  <si>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</si>
  <si>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</si>
  <si>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</si>
  <si>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</si>
  <si>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</si>
  <si>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</si>
  <si>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</si>
  <si>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</si>
  <si>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</si>
  <si>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</si>
  <si>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</si>
  <si>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</si>
  <si>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</si>
  <si>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</si>
  <si>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</si>
  <si>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</si>
  <si>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</si>
  <si>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</si>
  <si>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</si>
  <si>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</si>
  <si>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</si>
  <si>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</si>
  <si>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</si>
  <si>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</si>
  <si>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</si>
  <si>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</si>
  <si>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</si>
  <si>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</si>
  <si>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</si>
  <si>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</si>
  <si>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</si>
  <si>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</si>
  <si>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</si>
  <si>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</si>
  <si>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</si>
  <si>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</si>
  <si>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</si>
  <si>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</si>
  <si>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</si>
  <si>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</si>
  <si>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</si>
  <si>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</si>
  <si>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</si>
  <si>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</si>
  <si>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</si>
  <si>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</si>
  <si>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</si>
  <si>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</si>
  <si>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</si>
  <si>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</si>
  <si>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</si>
  <si>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</si>
  <si>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</si>
  <si>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</si>
  <si>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</si>
  <si>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</si>
  <si>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</si>
  <si>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</si>
  <si>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</si>
  <si>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</si>
  <si>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</si>
  <si>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</si>
  <si>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</si>
  <si>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</si>
  <si>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</si>
  <si>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</si>
  <si>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</si>
  <si>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</si>
  <si>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</si>
  <si>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</si>
  <si>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</si>
  <si>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</si>
  <si>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</si>
  <si>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</si>
  <si>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</si>
  <si>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</si>
  <si>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</si>
  <si>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</si>
  <si>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</si>
  <si>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</si>
  <si>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</si>
  <si>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</si>
  <si>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</si>
  <si>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</si>
  <si>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</si>
  <si>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</si>
  <si>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</si>
  <si>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</si>
  <si>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</si>
  <si>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</si>
  <si>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</si>
  <si>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</si>
  <si>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</si>
  <si>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</si>
  <si>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</si>
  <si>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</si>
  <si>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</si>
  <si>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</si>
  <si>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</si>
  <si>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</si>
  <si>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</si>
  <si>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</si>
  <si>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</si>
  <si>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</si>
  <si>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</si>
  <si>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</si>
  <si>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</si>
  <si>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</si>
  <si>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</si>
  <si>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</si>
  <si>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</si>
  <si>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</si>
  <si>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</si>
  <si>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</si>
  <si>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</si>
  <si>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</si>
  <si>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</si>
  <si>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</si>
  <si>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</si>
  <si>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</si>
  <si>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</si>
  <si>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</si>
  <si>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</si>
  <si>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</si>
  <si>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</si>
  <si>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</si>
  <si>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</si>
  <si>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</si>
  <si>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</si>
  <si>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</si>
  <si>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</si>
  <si>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</si>
  <si>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</si>
  <si>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</si>
  <si>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</si>
  <si>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</si>
  <si>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</si>
  <si>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</si>
  <si>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</si>
  <si>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</si>
  <si>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</si>
  <si>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</si>
  <si>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</si>
  <si>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</si>
  <si>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</si>
  <si>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</si>
  <si>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</si>
  <si>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</si>
  <si>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</si>
  <si>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</si>
  <si>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</si>
  <si>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</si>
  <si>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</si>
  <si>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</si>
  <si>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</si>
  <si>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</si>
  <si>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</si>
  <si>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</si>
  <si>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</si>
  <si>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</si>
  <si>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</si>
  <si>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</si>
  <si>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</si>
  <si>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</si>
  <si>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</si>
  <si>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</si>
  <si>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</si>
  <si>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</si>
  <si>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</si>
  <si>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</si>
  <si>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</si>
  <si>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</si>
  <si>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</si>
  <si>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</si>
  <si>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</si>
  <si>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</si>
  <si>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</si>
  <si>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</si>
  <si>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</si>
  <si>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</si>
  <si>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</si>
  <si>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</si>
  <si>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</si>
  <si>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</si>
  <si>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</si>
  <si>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</si>
  <si>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</si>
  <si>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</si>
  <si>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</si>
  <si>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</si>
  <si>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</si>
  <si>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</si>
  <si>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</si>
  <si>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</si>
  <si>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</si>
  <si>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</si>
  <si>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</si>
  <si>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</si>
  <si>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</si>
  <si>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</si>
  <si>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</si>
  <si>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</si>
  <si>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</si>
  <si>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</si>
  <si>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</si>
  <si>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</si>
  <si>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</si>
  <si>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</si>
  <si>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</si>
  <si>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</si>
  <si>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</si>
  <si>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</si>
  <si>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</si>
  <si>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</si>
  <si>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</si>
  <si>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</si>
  <si>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</si>
  <si>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</si>
  <si>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</si>
  <si>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</si>
  <si>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</si>
  <si>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</si>
  <si>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</si>
  <si>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</si>
  <si>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</si>
  <si>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</si>
  <si>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</si>
  <si>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</si>
  <si>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</si>
  <si>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</si>
  <si>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</si>
  <si>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</si>
  <si>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</si>
  <si>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</si>
  <si>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</si>
  <si>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</si>
  <si>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</si>
  <si>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</si>
  <si>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</si>
  <si>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</si>
  <si>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</si>
  <si>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</si>
  <si>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</si>
  <si>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</si>
  <si>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</si>
  <si>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</si>
  <si>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</si>
  <si>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</si>
  <si>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</si>
  <si>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</si>
  <si>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</si>
  <si>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</si>
  <si>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</si>
  <si>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</si>
  <si>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</si>
  <si>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</si>
  <si>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</si>
  <si>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</si>
  <si>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</si>
  <si>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</si>
  <si>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</si>
  <si>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</si>
  <si>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</si>
  <si>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</si>
  <si>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</si>
  <si>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</si>
  <si>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</si>
  <si>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</si>
  <si>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</si>
  <si>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</si>
  <si>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</si>
  <si>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</si>
  <si>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</si>
  <si>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</si>
  <si>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</si>
  <si>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</si>
  <si>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</si>
  <si>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</si>
  <si>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</si>
  <si>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</si>
  <si>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</si>
  <si>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</si>
  <si>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</si>
  <si>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</si>
  <si>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</si>
  <si>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</si>
  <si>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</si>
  <si>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</si>
  <si>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</si>
  <si>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</si>
  <si>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</si>
  <si>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</si>
  <si>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</si>
  <si>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</si>
  <si>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</si>
  <si>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</si>
  <si>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</si>
  <si>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</si>
  <si>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</si>
  <si>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</si>
  <si>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</si>
  <si>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</si>
  <si>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</si>
  <si>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</si>
  <si>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</si>
  <si>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</si>
  <si>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</si>
  <si>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</si>
  <si>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</si>
  <si>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</si>
  <si>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</si>
  <si>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</si>
  <si>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</si>
  <si>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</si>
  <si>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</si>
  <si>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</si>
  <si>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</si>
  <si>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</si>
  <si>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</si>
  <si>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</si>
  <si>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</si>
  <si>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</si>
  <si>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</si>
  <si>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</si>
  <si>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</si>
  <si>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</si>
  <si>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</si>
  <si>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</si>
  <si>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</si>
  <si>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</si>
  <si>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</si>
  <si>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</si>
  <si>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</si>
  <si>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</si>
  <si>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</si>
  <si>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</si>
  <si>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</si>
  <si>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</si>
  <si>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</si>
  <si>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</si>
  <si>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</si>
  <si>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</si>
  <si>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</si>
  <si>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</si>
  <si>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</si>
  <si>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</si>
  <si>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</si>
  <si>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</si>
  <si>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</si>
  <si>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</si>
  <si>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</si>
  <si>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</si>
  <si>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</si>
  <si>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</si>
  <si>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</si>
  <si>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</si>
  <si>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</si>
  <si>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</si>
  <si>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</si>
  <si>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</si>
  <si>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</si>
  <si>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</si>
  <si>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</si>
  <si>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</si>
  <si>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</si>
  <si>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</si>
  <si>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</si>
  <si>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</si>
  <si>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</si>
  <si>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</si>
  <si>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</si>
  <si>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</si>
  <si>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</si>
  <si>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</si>
  <si>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</si>
  <si>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</si>
  <si>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</si>
  <si>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</si>
  <si>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</si>
  <si>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</si>
  <si>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</si>
  <si>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</si>
  <si>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</si>
  <si>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</si>
  <si>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</si>
  <si>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</si>
  <si>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</si>
  <si>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</si>
  <si>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</si>
  <si>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</si>
  <si>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</si>
  <si>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</si>
  <si>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</si>
  <si>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</si>
  <si>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</si>
  <si>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</si>
  <si>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</si>
  <si>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</si>
  <si>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</si>
  <si>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</si>
  <si>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</si>
  <si>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</si>
  <si>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</si>
  <si>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</si>
  <si>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</si>
  <si>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</si>
  <si>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</si>
  <si>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</si>
  <si>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</si>
  <si>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</si>
  <si>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</si>
  <si>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</si>
  <si>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</si>
  <si>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</si>
  <si>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</si>
  <si>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</si>
  <si>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</si>
  <si>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</si>
  <si>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</si>
  <si>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</si>
  <si>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</si>
  <si>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</si>
  <si>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</si>
  <si>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</si>
  <si>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</si>
  <si>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</si>
  <si>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</si>
  <si>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</si>
  <si>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</si>
  <si>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</si>
  <si>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</si>
  <si>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</si>
  <si>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</si>
  <si>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</si>
  <si>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</si>
  <si>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</si>
  <si>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</si>
  <si>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</si>
  <si>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</si>
  <si>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</si>
  <si>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</si>
  <si>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</si>
  <si>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</si>
  <si>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</si>
  <si>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</si>
  <si>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</si>
  <si>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</si>
  <si>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</si>
  <si>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</si>
  <si>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</si>
  <si>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</si>
  <si>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</si>
  <si>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</si>
  <si>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</si>
  <si>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</si>
  <si>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</si>
  <si>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</si>
  <si>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</si>
  <si>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</si>
  <si>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</si>
  <si>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</si>
  <si>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</si>
  <si>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</si>
  <si>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</si>
  <si>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</si>
  <si>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</si>
  <si>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</si>
  <si>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</si>
  <si>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</si>
  <si>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</si>
  <si>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</si>
  <si>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</si>
  <si>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</si>
  <si>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</si>
  <si>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</si>
  <si>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</si>
  <si>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</si>
  <si>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</si>
  <si>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</si>
  <si>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</si>
  <si>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</si>
  <si>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</si>
  <si>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</si>
  <si>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</si>
  <si>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</si>
  <si>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</si>
  <si>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</si>
  <si>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</si>
  <si>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</si>
  <si>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</si>
  <si>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</si>
  <si>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</si>
  <si>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</si>
  <si>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</si>
  <si>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</si>
  <si>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</si>
  <si>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</si>
  <si>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</si>
  <si>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</si>
  <si>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</si>
  <si>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</si>
  <si>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</si>
  <si>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</si>
  <si>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</si>
  <si>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</si>
  <si>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</si>
  <si>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</si>
  <si>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</si>
  <si>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</si>
  <si>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</si>
  <si>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</si>
  <si>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</si>
  <si>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</si>
  <si>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</si>
  <si>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</si>
  <si>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</si>
  <si>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</si>
  <si>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</si>
  <si>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</si>
  <si>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</si>
  <si>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</si>
  <si>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</si>
  <si>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</si>
  <si>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</si>
  <si>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</si>
  <si>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</si>
  <si>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</si>
  <si>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</si>
  <si>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</si>
  <si>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</si>
  <si>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</si>
  <si>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</si>
  <si>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</si>
  <si>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</si>
  <si>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</si>
  <si>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</si>
  <si>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</si>
  <si>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</si>
  <si>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</si>
  <si>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</si>
  <si>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</si>
  <si>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</si>
  <si>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</si>
  <si>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</si>
  <si>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</si>
  <si>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</si>
  <si>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</si>
  <si>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</si>
  <si>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</si>
  <si>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</si>
  <si>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</si>
  <si>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</si>
  <si>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</si>
  <si>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</si>
  <si>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</si>
  <si>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</si>
  <si>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</si>
  <si>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</si>
  <si>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</si>
  <si>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</si>
  <si>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</si>
  <si>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</si>
  <si>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</si>
  <si>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</si>
  <si>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</si>
  <si>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</si>
  <si>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</si>
  <si>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</si>
  <si>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</si>
  <si>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</si>
  <si>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</si>
  <si>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</si>
  <si>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</si>
  <si>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</si>
  <si>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</si>
  <si>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</si>
  <si>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</si>
  <si>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</si>
  <si>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</si>
  <si>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</si>
  <si>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</si>
  <si>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</si>
  <si>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</si>
  <si>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</si>
  <si>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</si>
  <si>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</si>
  <si>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</si>
  <si>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</si>
  <si>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</si>
  <si>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</si>
  <si>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</si>
  <si>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</si>
  <si>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</si>
  <si>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</si>
  <si>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</si>
  <si>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</si>
  <si>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</si>
  <si>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</si>
  <si>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</si>
  <si>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</si>
  <si>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</si>
  <si>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</si>
  <si>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</si>
  <si>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</si>
  <si>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</si>
  <si>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</si>
  <si>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</si>
  <si>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</si>
  <si>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</si>
  <si>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</si>
  <si>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</si>
  <si>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</si>
  <si>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</si>
  <si>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</si>
  <si>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</si>
  <si>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</si>
  <si>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</si>
  <si>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</si>
  <si>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</si>
  <si>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</si>
  <si>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</si>
  <si>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</si>
  <si>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</si>
  <si>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</si>
  <si>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</si>
  <si>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</si>
  <si>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</si>
  <si>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</si>
  <si>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</si>
  <si>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</si>
  <si>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</si>
  <si>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</si>
  <si>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</si>
  <si>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</si>
  <si>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</si>
  <si>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</si>
  <si>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</si>
  <si>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</si>
  <si>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</si>
  <si>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</si>
  <si>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</si>
  <si>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</si>
  <si>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</si>
  <si>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</si>
  <si>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</si>
  <si>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</si>
  <si>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</si>
  <si>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</si>
  <si>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</si>
  <si>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</si>
  <si>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</si>
  <si>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</si>
  <si>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</si>
  <si>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</si>
  <si>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</si>
  <si>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</si>
  <si>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</si>
  <si>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</si>
  <si>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</si>
  <si>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</si>
  <si>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</si>
  <si>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</si>
  <si>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</si>
  <si>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</si>
  <si>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</si>
  <si>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</si>
  <si>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</si>
  <si>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</si>
  <si>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</si>
  <si>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</si>
  <si>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</si>
  <si>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</si>
  <si>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</si>
  <si>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</si>
  <si>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</si>
  <si>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</si>
  <si>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</si>
  <si>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</si>
  <si>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</si>
  <si>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</si>
  <si>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</si>
  <si>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</si>
  <si>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</si>
  <si>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</si>
  <si>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</si>
  <si>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</si>
  <si>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</si>
  <si>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</si>
  <si>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</si>
  <si>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</si>
  <si>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</si>
  <si>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</si>
  <si>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</si>
  <si>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</si>
  <si>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</si>
  <si>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</si>
  <si>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</si>
  <si>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</si>
  <si>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</si>
  <si>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</si>
  <si>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</si>
  <si>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</si>
  <si>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</si>
  <si>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</si>
  <si>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</si>
  <si>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</si>
  <si>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</si>
  <si>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</si>
  <si>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</si>
  <si>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</si>
  <si>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</si>
  <si>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</si>
  <si>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</si>
  <si>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</si>
  <si>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</si>
  <si>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</si>
  <si>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</si>
  <si>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</si>
  <si>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</si>
  <si>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</si>
  <si>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</si>
  <si>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</si>
  <si>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</si>
  <si>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</si>
  <si>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</si>
  <si>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</si>
  <si>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</si>
  <si>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</si>
  <si>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</si>
  <si>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</si>
  <si>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</si>
  <si>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</si>
  <si>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</si>
  <si>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</si>
  <si>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</si>
  <si>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</si>
  <si>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</si>
  <si>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</si>
  <si>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</si>
  <si>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</si>
  <si>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</si>
  <si>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</si>
  <si>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</si>
  <si>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</si>
  <si>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</si>
  <si>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</si>
  <si>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</si>
  <si>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</si>
  <si>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</si>
  <si>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</si>
  <si>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</si>
  <si>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</si>
  <si>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</si>
  <si>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</si>
  <si>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</si>
  <si>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</si>
  <si>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</si>
  <si>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</si>
  <si>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</si>
  <si>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</si>
  <si>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</si>
  <si>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</si>
  <si>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</si>
  <si>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</si>
  <si>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</si>
  <si>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</si>
  <si>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</si>
  <si>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</si>
  <si>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</si>
  <si>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</si>
  <si>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</si>
  <si>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</si>
  <si>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</si>
  <si>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</si>
  <si>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</si>
  <si>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</si>
  <si>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</si>
  <si>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</si>
  <si>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</si>
  <si>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</si>
  <si>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</si>
  <si>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</si>
  <si>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</si>
  <si>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</si>
  <si>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</si>
  <si>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</si>
  <si>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</si>
  <si>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</si>
  <si>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</si>
  <si>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</si>
  <si>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</si>
  <si>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</si>
  <si>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</si>
  <si>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</si>
  <si>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</si>
  <si>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</si>
  <si>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</si>
  <si>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</si>
  <si>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</si>
  <si>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</si>
  <si>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</si>
  <si>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</si>
  <si>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</si>
  <si>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</si>
  <si>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</si>
  <si>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</si>
  <si>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</si>
  <si>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</si>
  <si>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</si>
  <si>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</si>
  <si>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</si>
  <si>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</si>
  <si>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</si>
  <si>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</si>
  <si>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</si>
  <si>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</si>
  <si>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</si>
  <si>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</si>
  <si>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</si>
  <si>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</si>
  <si>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</si>
  <si>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</si>
  <si>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</si>
  <si>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</si>
  <si>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</si>
  <si>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</si>
  <si>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</si>
  <si>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</si>
  <si>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</si>
  <si>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</si>
  <si>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</si>
  <si>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</si>
  <si>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</si>
  <si>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</si>
  <si>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</si>
  <si>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</si>
  <si>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</si>
  <si>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</si>
  <si>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</si>
  <si>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</si>
  <si>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</si>
  <si>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</si>
  <si>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</si>
  <si>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</si>
  <si>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</si>
  <si>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</si>
  <si>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</si>
  <si>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</si>
  <si>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</si>
  <si>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</si>
  <si>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</si>
  <si>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</si>
  <si>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</si>
  <si>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</si>
  <si>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</si>
  <si>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</si>
  <si>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</si>
  <si>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</si>
  <si>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</si>
  <si>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</si>
  <si>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</si>
  <si>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</si>
  <si>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</si>
  <si>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</si>
  <si>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</si>
  <si>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</si>
  <si>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</si>
  <si>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</si>
  <si>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</si>
  <si>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</si>
  <si>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</si>
  <si>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</si>
  <si>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</si>
  <si>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</si>
  <si>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</si>
  <si>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</si>
  <si>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</si>
  <si>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</si>
  <si>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</si>
  <si>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</si>
  <si>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</si>
  <si>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</si>
  <si>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</si>
  <si>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</si>
  <si>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</si>
  <si>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</si>
  <si>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</si>
  <si>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</si>
  <si>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</si>
  <si>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</si>
  <si>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</si>
  <si>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</si>
  <si>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</si>
  <si>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</si>
  <si>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</si>
  <si>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</si>
  <si>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</si>
  <si>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</si>
  <si>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</si>
  <si>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</si>
  <si>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</si>
  <si>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</si>
  <si>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</si>
  <si>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</si>
  <si>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</si>
  <si>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</si>
  <si>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</si>
  <si>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</si>
  <si>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</si>
  <si>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</si>
  <si>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</si>
  <si>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</si>
  <si>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</si>
  <si>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</si>
  <si>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</si>
  <si>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</si>
  <si>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</si>
  <si>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</si>
  <si>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</si>
  <si>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</si>
  <si>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</si>
  <si>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</si>
  <si>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</si>
  <si>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</si>
  <si>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</si>
  <si>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</si>
  <si>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</si>
  <si>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</si>
  <si>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</si>
  <si>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</si>
  <si>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</si>
  <si>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</si>
  <si>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</si>
  <si>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</si>
  <si>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</si>
  <si>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</si>
  <si>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</si>
  <si>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</si>
  <si>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</si>
  <si>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</si>
  <si>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</si>
  <si>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</si>
  <si>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</si>
  <si>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</si>
  <si>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</si>
  <si>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</si>
  <si>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</si>
  <si>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</si>
  <si>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</si>
  <si>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</si>
  <si>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</si>
  <si>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</si>
  <si>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</si>
  <si>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</si>
  <si>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</si>
  <si>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</si>
  <si>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</si>
  <si>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</si>
  <si>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</si>
  <si>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</si>
  <si>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</si>
  <si>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</si>
  <si>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</si>
  <si>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</si>
  <si>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</si>
  <si>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</si>
  <si>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</si>
  <si>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</si>
  <si>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</si>
  <si>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</si>
  <si>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</si>
  <si>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</si>
  <si>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</si>
  <si>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</si>
  <si>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</si>
  <si>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</si>
  <si>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</si>
  <si>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</si>
  <si>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</si>
  <si>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</si>
  <si>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</si>
  <si>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</si>
  <si>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</si>
  <si>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</si>
  <si>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</si>
  <si>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</si>
  <si>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</si>
  <si>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</si>
  <si>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</si>
  <si>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</si>
  <si>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</si>
  <si>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</si>
  <si>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</si>
  <si>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</si>
  <si>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</si>
  <si>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</si>
  <si>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</si>
  <si>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</si>
  <si>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</si>
  <si>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</si>
  <si>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</si>
  <si>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</si>
  <si>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</si>
  <si>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</si>
  <si>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</si>
  <si>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</si>
  <si>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</si>
  <si>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</si>
  <si>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</si>
  <si>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</si>
  <si>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</si>
  <si>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</si>
  <si>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</si>
  <si>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</si>
  <si>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</si>
  <si>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</si>
  <si>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</si>
  <si>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</si>
  <si>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</si>
  <si>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</si>
  <si>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</si>
  <si>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</si>
  <si>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</si>
  <si>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</si>
  <si>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</si>
  <si>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</si>
  <si>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</si>
  <si>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</si>
  <si>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</si>
  <si>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</si>
  <si>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</si>
  <si>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</si>
  <si>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</si>
  <si>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</si>
  <si>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</si>
  <si>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</si>
  <si>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</si>
  <si>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</si>
  <si>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</si>
  <si>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</si>
  <si>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</si>
  <si>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</si>
  <si>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</si>
  <si>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</si>
  <si>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</si>
  <si>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</si>
  <si>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</si>
  <si>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</si>
  <si>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</si>
  <si>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</si>
  <si>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</si>
  <si>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</si>
  <si>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</si>
  <si>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</si>
  <si>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</si>
  <si>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</si>
  <si>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</si>
  <si>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</si>
  <si>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</si>
  <si>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</si>
  <si>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</si>
  <si>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</si>
  <si>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</si>
  <si>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</si>
  <si>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</si>
  <si>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</si>
  <si>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</si>
  <si>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</si>
  <si>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</si>
  <si>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</si>
  <si>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</si>
  <si>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</si>
  <si>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</si>
  <si>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</si>
  <si>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</si>
  <si>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</si>
  <si>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</si>
  <si>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</si>
  <si>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</si>
  <si>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</si>
  <si>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</si>
  <si>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</si>
  <si>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</si>
  <si>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</si>
  <si>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</si>
  <si>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</si>
  <si>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</si>
  <si>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</si>
  <si>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</si>
  <si>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</si>
  <si>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</si>
  <si>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</si>
  <si>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</si>
  <si>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</si>
  <si>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</si>
  <si>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</si>
  <si>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</si>
  <si>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</si>
  <si>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</si>
  <si>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</si>
  <si>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</si>
  <si>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</si>
  <si>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</si>
  <si>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</si>
  <si>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</si>
  <si>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</si>
  <si>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</si>
  <si>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</si>
  <si>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</si>
  <si>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</si>
  <si>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</si>
  <si>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</si>
  <si>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</si>
  <si>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</si>
  <si>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</si>
  <si>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</si>
  <si>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</si>
  <si>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</si>
  <si>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</si>
  <si>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</si>
  <si>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</si>
  <si>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</si>
  <si>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</si>
  <si>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</si>
  <si>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</si>
  <si>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</si>
  <si>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</si>
  <si>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</si>
  <si>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</si>
  <si>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</si>
  <si>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</si>
  <si>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</si>
  <si>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</si>
  <si>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</si>
  <si>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</si>
  <si>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</si>
  <si>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</si>
  <si>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</si>
  <si>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</si>
  <si>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</si>
  <si>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</si>
  <si>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</si>
  <si>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</si>
  <si>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</si>
  <si>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</si>
  <si>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</si>
  <si>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</si>
  <si>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</si>
  <si>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</si>
  <si>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</si>
  <si>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</si>
  <si>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</si>
  <si>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</si>
  <si>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</si>
  <si>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</si>
  <si>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</si>
  <si>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</si>
  <si>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</si>
  <si>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</si>
  <si>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</si>
  <si>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</si>
  <si>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</si>
  <si>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</si>
  <si>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</si>
  <si>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</si>
  <si>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</si>
  <si>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</si>
  <si>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</si>
  <si>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</si>
  <si>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</si>
  <si>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</si>
  <si>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</si>
  <si>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</si>
  <si>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</si>
  <si>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</si>
  <si>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</si>
  <si>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</si>
  <si>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</si>
  <si>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</si>
  <si>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</si>
  <si>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</si>
  <si>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</si>
  <si>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</si>
  <si>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</si>
  <si>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</si>
  <si>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</si>
  <si>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</si>
  <si>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</si>
  <si>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</si>
  <si>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</si>
  <si>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</si>
  <si>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</si>
  <si>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</si>
  <si>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</si>
  <si>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</si>
  <si>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</si>
  <si>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</si>
  <si>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</si>
  <si>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</si>
  <si>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</si>
  <si>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</si>
  <si>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</si>
  <si>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</si>
  <si>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</si>
  <si>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</si>
  <si>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</si>
  <si>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</si>
  <si>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</si>
  <si>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</si>
  <si>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</si>
  <si>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</si>
  <si>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</si>
  <si>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</si>
  <si>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</si>
  <si>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</si>
  <si>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</si>
  <si>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</si>
  <si>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</si>
  <si>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</si>
  <si>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</si>
  <si>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</si>
  <si>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</si>
  <si>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</si>
  <si>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</si>
  <si>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</si>
  <si>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</si>
  <si>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</si>
  <si>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</si>
  <si>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</si>
  <si>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</si>
  <si>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</si>
  <si>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</si>
  <si>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</si>
  <si>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</si>
  <si>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</si>
  <si>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</si>
  <si>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</si>
  <si>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</si>
  <si>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</si>
  <si>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</si>
  <si>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</si>
  <si>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</si>
  <si>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</si>
  <si>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</si>
  <si>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</si>
  <si>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</si>
  <si>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</si>
  <si>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</si>
  <si>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</si>
  <si>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</si>
  <si>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</si>
  <si>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</si>
  <si>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</si>
  <si>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</si>
  <si>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</si>
  <si>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</si>
  <si>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</si>
  <si>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</si>
  <si>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</si>
  <si>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</si>
  <si>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</si>
  <si>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</si>
  <si>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</si>
  <si>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</si>
  <si>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</si>
  <si>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</si>
  <si>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</si>
  <si>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</si>
  <si>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</si>
  <si>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</si>
  <si>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</si>
  <si>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</si>
  <si>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</si>
  <si>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</si>
  <si>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</si>
  <si>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</si>
  <si>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</si>
  <si>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</si>
  <si>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</si>
  <si>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</si>
  <si>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</si>
  <si>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</si>
  <si>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</si>
  <si>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</si>
  <si>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</si>
  <si>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</si>
  <si>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</si>
  <si>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</si>
  <si>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</si>
  <si>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</si>
  <si>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</si>
  <si>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</si>
  <si>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</si>
  <si>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</si>
  <si>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</si>
  <si>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</si>
  <si>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</si>
  <si>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</si>
  <si>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</si>
  <si>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</si>
  <si>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</si>
  <si>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</si>
  <si>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</si>
  <si>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</si>
  <si>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</si>
  <si>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</si>
  <si>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</si>
  <si>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</si>
  <si>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</si>
  <si>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</si>
  <si>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</si>
  <si>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</si>
  <si>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</si>
  <si>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</si>
  <si>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</si>
  <si>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</si>
  <si>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</si>
  <si>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</si>
  <si>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</si>
  <si>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</si>
  <si>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</si>
  <si>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</si>
  <si>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</si>
  <si>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</si>
  <si>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</si>
  <si>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</si>
  <si>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</si>
  <si>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</si>
  <si>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</si>
  <si>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</si>
  <si>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</si>
  <si>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</si>
  <si>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</si>
  <si>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</si>
  <si>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</si>
  <si>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</si>
  <si>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</si>
  <si>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</si>
  <si>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</si>
  <si>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</si>
  <si>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</si>
  <si>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</si>
  <si>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</si>
  <si>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</si>
  <si>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</si>
  <si>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</si>
  <si>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</si>
  <si>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</si>
  <si>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</si>
  <si>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</si>
  <si>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</si>
  <si>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</si>
  <si>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</si>
  <si>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</si>
  <si>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</si>
  <si>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</si>
  <si>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</si>
  <si>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</si>
  <si>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</si>
  <si>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</si>
  <si>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</si>
  <si>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</si>
  <si>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</si>
  <si>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</si>
  <si>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</si>
  <si>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</si>
  <si>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</si>
  <si>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</si>
  <si>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</si>
  <si>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</si>
  <si>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</si>
  <si>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</si>
  <si>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</si>
  <si>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</si>
  <si>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</si>
  <si>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</si>
  <si>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</si>
  <si>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</si>
  <si>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</si>
  <si>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</si>
  <si>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</si>
  <si>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</si>
  <si>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</si>
  <si>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</si>
  <si>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</si>
  <si>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</si>
  <si>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</si>
  <si>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</si>
  <si>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</si>
  <si>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</si>
  <si>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</si>
  <si>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</si>
  <si>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</si>
  <si>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</si>
  <si>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</si>
  <si>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</si>
  <si>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</si>
  <si>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</si>
  <si>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</si>
  <si>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</si>
  <si>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</si>
  <si>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</si>
  <si>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</si>
  <si>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</si>
  <si>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</si>
  <si>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</si>
  <si>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</si>
  <si>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</si>
  <si>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</si>
  <si>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</si>
  <si>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</si>
  <si>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</si>
  <si>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</si>
  <si>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</si>
  <si>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</si>
  <si>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</si>
  <si>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</si>
  <si>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</si>
  <si>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</si>
  <si>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</si>
  <si>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</si>
  <si>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</si>
  <si>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</si>
  <si>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</si>
  <si>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</si>
  <si>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</si>
  <si>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</si>
  <si>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</si>
  <si>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</si>
  <si>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</si>
  <si>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</si>
  <si>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</si>
  <si>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</si>
  <si>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</si>
  <si>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</si>
  <si>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</si>
  <si>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</si>
  <si>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</si>
  <si>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</si>
  <si>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</si>
  <si>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</si>
  <si>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</si>
  <si>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</si>
  <si>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</si>
  <si>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</si>
  <si>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</si>
  <si>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</si>
  <si>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</si>
  <si>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</si>
  <si>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</si>
  <si>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</si>
  <si>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</si>
  <si>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</si>
  <si>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</si>
  <si>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</si>
  <si>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</si>
  <si>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</si>
  <si>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</si>
  <si>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</si>
  <si>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</si>
  <si>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</si>
  <si>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</si>
  <si>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</si>
  <si>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</si>
  <si>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</si>
  <si>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</si>
  <si>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</si>
  <si>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</si>
  <si>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</si>
  <si>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</si>
  <si>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</si>
  <si>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</si>
  <si>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</si>
  <si>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</si>
  <si>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</si>
  <si>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</si>
  <si>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</si>
  <si>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</si>
  <si>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</si>
  <si>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</si>
  <si>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</si>
  <si>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</si>
  <si>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</si>
  <si>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</si>
  <si>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</si>
  <si>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</si>
  <si>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</si>
  <si>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</si>
  <si>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</si>
  <si>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</si>
  <si>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</si>
  <si>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</si>
  <si>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</si>
  <si>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</si>
  <si>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</si>
  <si>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</si>
  <si>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</si>
  <si>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</si>
  <si>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</si>
  <si>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</si>
  <si>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</si>
  <si>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</si>
  <si>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</si>
  <si>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</si>
  <si>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</si>
  <si>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</si>
  <si>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</si>
  <si>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</si>
  <si>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</si>
  <si>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</si>
  <si>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</si>
  <si>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</si>
  <si>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</si>
  <si>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</si>
  <si>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</si>
  <si>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</si>
  <si>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</si>
  <si>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</si>
  <si>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</si>
  <si>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</si>
  <si>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</si>
  <si>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</si>
  <si>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</si>
  <si>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</si>
  <si>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</si>
  <si>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</si>
  <si>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</si>
  <si>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</si>
  <si>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</si>
  <si>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</si>
  <si>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</si>
  <si>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</si>
  <si>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</si>
  <si>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</si>
  <si>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</si>
  <si>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</si>
  <si>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</si>
  <si>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</si>
  <si>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</si>
  <si>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</si>
  <si>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</si>
  <si>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</si>
  <si>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</si>
  <si>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</si>
  <si>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</si>
  <si>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</si>
  <si>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</si>
  <si>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</si>
  <si>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</si>
  <si>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</si>
  <si>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</si>
  <si>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</si>
  <si>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</si>
  <si>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</si>
  <si>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</si>
  <si>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</si>
  <si>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</si>
  <si>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</si>
  <si>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</si>
  <si>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</si>
  <si>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</si>
  <si>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</si>
  <si>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</si>
  <si>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</si>
  <si>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</si>
  <si>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</si>
  <si>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</si>
  <si>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</si>
  <si>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</si>
  <si>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</si>
  <si>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</si>
  <si>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</si>
  <si>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</si>
  <si>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</si>
  <si>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</si>
  <si>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</si>
  <si>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</si>
  <si>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</si>
  <si>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</si>
  <si>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</si>
  <si>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</si>
  <si>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</si>
  <si>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</si>
  <si>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</si>
  <si>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</si>
  <si>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</si>
  <si>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</si>
  <si>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</si>
  <si>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</si>
  <si>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</si>
  <si>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</si>
  <si>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</si>
  <si>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</si>
  <si>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</si>
  <si>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</si>
  <si>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</si>
  <si>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</si>
  <si>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</si>
  <si>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</si>
  <si>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</si>
  <si>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</si>
  <si>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</si>
  <si>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</si>
  <si>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</si>
  <si>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</si>
  <si>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</si>
  <si>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</si>
  <si>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</si>
  <si>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</si>
  <si>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</si>
  <si>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</si>
  <si>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</si>
  <si>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</si>
  <si>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</si>
  <si>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</si>
  <si>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</si>
  <si>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</si>
  <si>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</si>
  <si>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</si>
  <si>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</si>
  <si>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</si>
  <si>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</si>
  <si>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</si>
  <si>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</si>
  <si>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</si>
  <si>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</si>
  <si>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</si>
  <si>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</si>
  <si>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</si>
  <si>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</si>
  <si>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</si>
  <si>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</si>
  <si>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</si>
  <si>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</si>
  <si>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</si>
  <si>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</si>
  <si>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</si>
  <si>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</si>
  <si>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</si>
  <si>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</si>
  <si>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</si>
  <si>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</si>
  <si>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</si>
  <si>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</si>
  <si>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</si>
  <si>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</si>
  <si>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</si>
  <si>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</si>
  <si>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</si>
  <si>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</si>
  <si>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</si>
  <si>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</si>
  <si>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</si>
  <si>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</si>
  <si>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</si>
  <si>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</si>
  <si>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</si>
  <si>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</si>
  <si>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</si>
  <si>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</si>
  <si>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</si>
  <si>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</si>
  <si>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</si>
  <si>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</si>
  <si>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</si>
  <si>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</si>
  <si>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</si>
  <si>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</si>
  <si>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</si>
  <si>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</si>
  <si>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</si>
  <si>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</si>
  <si>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</si>
  <si>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</si>
  <si>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</si>
  <si>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</si>
  <si>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</si>
  <si>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</si>
  <si>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</si>
  <si>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</si>
  <si>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</si>
  <si>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</si>
  <si>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</si>
  <si>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</si>
  <si>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</si>
  <si>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</si>
  <si>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</si>
  <si>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</si>
  <si>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</si>
  <si>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</si>
  <si>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</si>
  <si>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</si>
  <si>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</si>
  <si>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</si>
  <si>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</si>
  <si>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</si>
  <si>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</si>
  <si>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</si>
  <si>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</si>
  <si>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</si>
  <si>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</si>
  <si>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</si>
  <si>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</si>
  <si>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</si>
  <si>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</si>
  <si>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</si>
  <si>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</si>
  <si>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</si>
  <si>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</si>
  <si>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</si>
  <si>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</si>
  <si>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</si>
  <si>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</si>
  <si>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</si>
  <si>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</si>
  <si>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</si>
  <si>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</si>
  <si>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</si>
  <si>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</si>
  <si>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</si>
  <si>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</si>
  <si>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</si>
  <si>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</si>
  <si>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</si>
  <si>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</si>
  <si>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</si>
  <si>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</si>
  <si>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</si>
  <si>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</si>
  <si>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</si>
  <si>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</si>
  <si>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</si>
  <si>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</si>
  <si>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</si>
  <si>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</si>
  <si>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</si>
  <si>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</si>
  <si>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</si>
  <si>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</si>
  <si>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</si>
  <si>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</si>
  <si>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</si>
  <si>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</si>
  <si>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</si>
  <si>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</si>
  <si>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</si>
  <si>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</si>
  <si>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</si>
  <si>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</si>
  <si>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</si>
  <si>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</si>
  <si>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</si>
  <si>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</si>
  <si>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</si>
  <si>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</si>
  <si>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</si>
  <si>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</si>
  <si>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</si>
  <si>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</si>
  <si>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</si>
  <si>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</si>
  <si>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</si>
  <si>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</si>
  <si>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</si>
  <si>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</si>
  <si>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</si>
  <si>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</si>
  <si>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</si>
  <si>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</si>
  <si>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</si>
  <si>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</si>
  <si>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</si>
  <si>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</si>
  <si>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</si>
  <si>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</si>
  <si>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</si>
  <si>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</si>
  <si>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</si>
  <si>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</si>
  <si>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</si>
  <si>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</si>
  <si>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</si>
  <si>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</si>
  <si>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</si>
  <si>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</si>
  <si>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</si>
  <si>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</si>
  <si>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</si>
  <si>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</si>
  <si>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</si>
  <si>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</si>
  <si>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</si>
  <si>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</si>
  <si>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</si>
  <si>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</si>
  <si>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</si>
  <si>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</si>
  <si>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</si>
  <si>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</si>
  <si>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</si>
  <si>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</si>
  <si>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</si>
  <si>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</si>
  <si>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</si>
  <si>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</si>
  <si>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</si>
  <si>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</si>
  <si>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</si>
  <si>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</si>
  <si>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</si>
  <si>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</si>
  <si>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</si>
  <si>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</si>
  <si>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</si>
  <si>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</si>
  <si>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</si>
  <si>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</si>
  <si>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</si>
  <si>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</si>
  <si>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</si>
  <si>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</si>
  <si>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</si>
  <si>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</si>
  <si>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</si>
  <si>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</si>
  <si>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</si>
  <si>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</si>
  <si>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</si>
  <si>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</si>
  <si>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</si>
  <si>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</si>
  <si>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</si>
  <si>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</si>
  <si>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</si>
  <si>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</si>
  <si>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</si>
  <si>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</si>
  <si>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</si>
  <si>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</si>
  <si>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</si>
  <si>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</si>
  <si>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</si>
  <si>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</si>
  <si>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</si>
  <si>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</si>
  <si>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</si>
  <si>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</si>
  <si>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</si>
  <si>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</si>
  <si>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</si>
  <si>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</si>
  <si>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</si>
  <si>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</si>
  <si>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</si>
  <si>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</si>
  <si>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</si>
  <si>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</si>
  <si>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</si>
  <si>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</si>
  <si>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</si>
  <si>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</si>
  <si>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</si>
  <si>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</si>
  <si>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</si>
  <si>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</si>
  <si>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</si>
  <si>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</si>
  <si>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</si>
  <si>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</si>
  <si>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</si>
  <si>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</si>
  <si>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</si>
  <si>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</si>
  <si>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</si>
  <si>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</si>
  <si>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</si>
  <si>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</si>
  <si>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</si>
  <si>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</si>
  <si>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</si>
  <si>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</si>
  <si>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</si>
  <si>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</si>
  <si>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</si>
  <si>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</si>
  <si>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</si>
  <si>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</si>
  <si>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</si>
  <si>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</si>
  <si>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</si>
  <si>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</si>
  <si>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</si>
  <si>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</si>
  <si>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</si>
  <si>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</si>
  <si>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</si>
  <si>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</si>
  <si>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</si>
  <si>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</si>
  <si>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</si>
  <si>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</si>
  <si>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</si>
  <si>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</si>
  <si>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</si>
  <si>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</si>
  <si>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</si>
  <si>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</si>
  <si>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</si>
  <si>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</si>
  <si>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</si>
  <si>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</si>
  <si>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</si>
  <si>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</si>
  <si>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</si>
  <si>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</si>
  <si>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</si>
  <si>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</si>
  <si>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</si>
  <si>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</si>
  <si>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</si>
  <si>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</si>
  <si>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</si>
  <si>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</si>
  <si>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</si>
  <si>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</si>
  <si>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</si>
  <si>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</si>
  <si>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</si>
  <si>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</si>
  <si>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</si>
  <si>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</si>
  <si>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</si>
  <si>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</si>
  <si>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</si>
  <si>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</si>
  <si>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</si>
  <si>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</si>
  <si>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</si>
  <si>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</si>
  <si>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</si>
  <si>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</si>
  <si>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</si>
  <si>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</si>
  <si>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</si>
  <si>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</si>
  <si>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</si>
  <si>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</si>
  <si>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</si>
  <si>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</si>
  <si>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</si>
  <si>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</si>
  <si>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</si>
  <si>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</si>
  <si>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</si>
  <si>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</si>
  <si>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</si>
  <si>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</si>
  <si>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</si>
  <si>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</si>
  <si>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</si>
  <si>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</si>
  <si>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</si>
  <si>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</si>
  <si>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</si>
  <si>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</si>
  <si>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</si>
  <si>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</si>
  <si>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</si>
  <si>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</si>
  <si>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</si>
  <si>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</si>
  <si>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</si>
  <si>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</si>
  <si>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</si>
  <si>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</si>
  <si>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</si>
  <si>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</si>
  <si>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</si>
  <si>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</si>
  <si>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</si>
  <si>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</si>
  <si>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</si>
  <si>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</si>
  <si>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</si>
  <si>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</si>
  <si>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</si>
  <si>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</si>
  <si>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</si>
  <si>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</si>
  <si>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</si>
  <si>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</si>
  <si>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</si>
  <si>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</si>
  <si>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</si>
  <si>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</si>
  <si>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</si>
  <si>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</si>
  <si>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</si>
  <si>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</si>
  <si>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</si>
  <si>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</si>
  <si>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</si>
  <si>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</si>
  <si>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</si>
  <si>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</si>
  <si>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</si>
  <si>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</si>
  <si>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</si>
  <si>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</si>
  <si>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</si>
  <si>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</si>
  <si>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</si>
  <si>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</si>
  <si>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</si>
  <si>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</si>
  <si>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</si>
  <si>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</si>
  <si>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</si>
  <si>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</si>
  <si>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</si>
  <si>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</si>
  <si>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</si>
  <si>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</si>
  <si>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</si>
  <si>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</si>
  <si>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</si>
  <si>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</si>
  <si>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</si>
  <si>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</si>
  <si>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</si>
  <si>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</si>
  <si>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</si>
  <si>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</si>
  <si>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</si>
  <si>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</si>
  <si>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</si>
  <si>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</si>
  <si>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</si>
  <si>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</si>
  <si>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</si>
  <si>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</si>
  <si>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</si>
  <si>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</si>
  <si>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</si>
  <si>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</si>
  <si>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</si>
  <si>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</si>
  <si>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</si>
  <si>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</si>
  <si>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</si>
  <si>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</si>
  <si>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</si>
  <si>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</si>
  <si>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</si>
  <si>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</si>
  <si>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</si>
  <si>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</si>
  <si>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</si>
  <si>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</si>
  <si>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</si>
  <si>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</si>
  <si>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</si>
  <si>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</si>
  <si>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</si>
  <si>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</si>
  <si>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</si>
  <si>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</si>
  <si>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</si>
  <si>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</si>
  <si>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</si>
  <si>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</si>
  <si>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</si>
  <si>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</si>
  <si>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</si>
  <si>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</si>
  <si>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</si>
  <si>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</si>
  <si>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</si>
  <si>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</si>
  <si>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</si>
  <si>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</si>
  <si>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</si>
  <si>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</si>
  <si>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</si>
  <si>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</si>
  <si>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</si>
  <si>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</si>
  <si>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</si>
  <si>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</si>
  <si>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</si>
  <si>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</si>
  <si>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</si>
  <si>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</si>
  <si>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</si>
  <si>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</si>
  <si>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</si>
  <si>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</si>
  <si>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</si>
  <si>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</si>
  <si>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</si>
  <si>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</si>
  <si>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</si>
  <si>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</si>
  <si>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</si>
  <si>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</si>
  <si>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</si>
  <si>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</si>
  <si>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</si>
  <si>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</si>
  <si>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</si>
  <si>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</si>
  <si>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</si>
  <si>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</si>
  <si>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</si>
  <si>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</si>
  <si>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</si>
  <si>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</si>
  <si>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</si>
  <si>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</si>
  <si>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</si>
  <si>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</si>
  <si>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</si>
  <si>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</si>
  <si>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</si>
  <si>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</si>
  <si>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</si>
  <si>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</si>
  <si>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</si>
  <si>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</si>
  <si>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</si>
  <si>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</si>
  <si>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</si>
  <si>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</si>
  <si>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</si>
  <si>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</si>
  <si>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</si>
  <si>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</si>
  <si>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</si>
  <si>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</si>
  <si>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</si>
  <si>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</si>
  <si>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</si>
  <si>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</si>
  <si>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</si>
  <si>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</si>
  <si>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</si>
  <si>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</si>
  <si>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</si>
  <si>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</si>
  <si>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</si>
  <si>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</si>
  <si>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</si>
  <si>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</si>
  <si>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</si>
  <si>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</si>
  <si>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</si>
  <si>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</si>
  <si>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</si>
  <si>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</si>
  <si>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</si>
  <si>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</si>
  <si>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</si>
  <si>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</si>
  <si>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</si>
  <si>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</si>
  <si>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</si>
  <si>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</si>
  <si>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</si>
  <si>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</si>
  <si>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</si>
  <si>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</si>
  <si>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</si>
  <si>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</si>
  <si>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</si>
  <si>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</si>
  <si>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</si>
  <si>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</si>
  <si>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</si>
  <si>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</si>
  <si>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</si>
  <si>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</si>
  <si>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</si>
  <si>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</si>
  <si>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</si>
  <si>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</si>
  <si>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</si>
  <si>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</si>
  <si>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</si>
  <si>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</si>
  <si>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</si>
  <si>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</si>
  <si>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</si>
  <si>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</si>
  <si>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</si>
  <si>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</si>
  <si>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</si>
  <si>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</si>
  <si>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</si>
  <si>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</si>
  <si>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</si>
  <si>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</si>
  <si>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</si>
  <si>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</si>
  <si>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</si>
  <si>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</si>
  <si>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</si>
  <si>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</si>
  <si>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</si>
  <si>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</si>
  <si>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</si>
  <si>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</si>
  <si>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</si>
  <si>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</si>
  <si>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</si>
  <si>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</si>
  <si>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</si>
  <si>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</si>
  <si>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</si>
  <si>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</si>
  <si>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</si>
  <si>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</si>
  <si>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</si>
  <si>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</si>
  <si>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</si>
  <si>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</si>
  <si>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</si>
  <si>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</si>
  <si>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</si>
  <si>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</si>
  <si>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</si>
  <si>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</si>
  <si>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</si>
  <si>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</si>
  <si>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</si>
  <si>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</si>
  <si>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</si>
  <si>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</si>
  <si>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</si>
  <si>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</si>
  <si>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</si>
  <si>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</si>
  <si>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</si>
  <si>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</si>
  <si>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</si>
  <si>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</si>
  <si>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</si>
  <si>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</si>
  <si>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</si>
  <si>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</si>
  <si>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</si>
  <si>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</si>
  <si>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</si>
  <si>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</si>
  <si>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</si>
  <si>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</si>
  <si>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</si>
  <si>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</si>
  <si>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</si>
  <si>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</si>
  <si>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</si>
  <si>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</si>
  <si>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</si>
  <si>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</si>
  <si>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</si>
  <si>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</si>
  <si>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</si>
  <si>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</si>
  <si>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</si>
  <si>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</si>
  <si>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</si>
  <si>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</si>
  <si>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</si>
  <si>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</si>
  <si>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</si>
  <si>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</si>
  <si>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</si>
  <si>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</si>
  <si>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</si>
  <si>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</si>
  <si>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</si>
  <si>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</si>
  <si>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</si>
  <si>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</si>
  <si>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</si>
  <si>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</si>
  <si>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</si>
  <si>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</si>
  <si>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</si>
  <si>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</si>
  <si>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</si>
  <si>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</si>
  <si>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</si>
  <si>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</si>
  <si>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</si>
  <si>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</si>
  <si>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</si>
  <si>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</si>
  <si>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</si>
  <si>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</si>
  <si>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</si>
  <si>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</si>
  <si>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</si>
  <si>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</si>
  <si>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</si>
  <si>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</si>
  <si>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</si>
  <si>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</si>
  <si>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</si>
  <si>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</si>
  <si>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</si>
  <si>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</si>
  <si>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</si>
  <si>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</si>
  <si>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</si>
  <si>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</si>
  <si>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</si>
  <si>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</si>
  <si>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</si>
  <si>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</si>
  <si>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</si>
  <si>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</si>
  <si>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</si>
  <si>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</si>
  <si>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</si>
  <si>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</si>
  <si>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</si>
  <si>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</si>
  <si>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</si>
  <si>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</si>
  <si>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</si>
  <si>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</si>
  <si>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</si>
  <si>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</si>
  <si>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</si>
  <si>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</si>
  <si>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</si>
  <si>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</si>
  <si>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</si>
  <si>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</si>
  <si>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</si>
  <si>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</si>
  <si>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</si>
  <si>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</si>
  <si>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</si>
  <si>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</si>
  <si>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</si>
  <si>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</si>
  <si>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</si>
  <si>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</si>
  <si>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</si>
  <si>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</si>
  <si>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</si>
  <si>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</si>
  <si>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</si>
  <si>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</si>
  <si>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</si>
  <si>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</si>
  <si>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</si>
  <si>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</si>
  <si>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</si>
  <si>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</si>
  <si>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</si>
  <si>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</si>
  <si>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</si>
  <si>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</si>
  <si>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</si>
  <si>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</si>
  <si>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</si>
  <si>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</si>
  <si>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</si>
  <si>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</si>
  <si>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</si>
  <si>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</si>
  <si>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</si>
  <si>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</si>
  <si>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</si>
  <si>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</si>
  <si>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</si>
  <si>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</si>
  <si>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</si>
  <si>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</si>
  <si>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</si>
  <si>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</si>
  <si>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</si>
  <si>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</si>
  <si>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</si>
  <si>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</si>
  <si>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</si>
  <si>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</si>
  <si>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</si>
  <si>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</si>
  <si>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</si>
  <si>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</si>
  <si>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</si>
  <si>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</si>
  <si>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</si>
  <si>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</si>
  <si>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</si>
  <si>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</si>
  <si>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</si>
  <si>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</si>
  <si>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</si>
  <si>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</si>
  <si>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</si>
  <si>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</si>
  <si>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</si>
  <si>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</si>
  <si>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</si>
  <si>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</si>
  <si>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</si>
  <si>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</si>
  <si>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</si>
  <si>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</si>
  <si>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</si>
  <si>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</si>
  <si>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</si>
  <si>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</si>
  <si>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</si>
  <si>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</si>
  <si>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</si>
  <si>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</si>
  <si>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</si>
  <si>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</si>
  <si>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</si>
  <si>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</si>
  <si>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</si>
  <si>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</si>
  <si>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</si>
  <si>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</si>
  <si>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</si>
  <si>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</si>
  <si>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</si>
  <si>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</si>
  <si>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</si>
  <si>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</si>
  <si>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</si>
  <si>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</si>
  <si>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</si>
  <si>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</si>
  <si>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</si>
  <si>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</si>
  <si>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</si>
  <si>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</si>
  <si>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</si>
  <si>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</si>
  <si>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</si>
  <si>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</si>
  <si>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</si>
  <si>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</si>
  <si>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</si>
  <si>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</si>
  <si>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</si>
  <si>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</si>
  <si>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</si>
  <si>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</si>
  <si>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</si>
  <si>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</si>
  <si>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</si>
  <si>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</si>
  <si>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</si>
  <si>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</si>
  <si>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</si>
  <si>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</si>
  <si>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</si>
  <si>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</si>
  <si>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</si>
  <si>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</si>
  <si>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</si>
  <si>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</si>
  <si>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</si>
  <si>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</si>
  <si>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</si>
  <si>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</si>
  <si>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</si>
  <si>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</si>
  <si>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</si>
  <si>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</si>
  <si>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</si>
  <si>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</si>
  <si>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</si>
  <si>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</si>
  <si>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</si>
  <si>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</si>
  <si>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</si>
  <si>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</si>
  <si>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</si>
  <si>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</si>
  <si>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</si>
  <si>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</si>
  <si>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</si>
  <si>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</si>
  <si>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</si>
  <si>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</si>
  <si>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</si>
  <si>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</si>
  <si>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</si>
  <si>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</si>
  <si>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</si>
  <si>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</si>
  <si>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</si>
  <si>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</si>
  <si>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</si>
  <si>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</si>
  <si>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</si>
  <si>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</si>
  <si>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</si>
  <si>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</si>
  <si>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</si>
  <si>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</si>
  <si>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</si>
  <si>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</si>
  <si>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</si>
  <si>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</si>
  <si>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</si>
  <si>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</si>
  <si>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</si>
  <si>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</si>
  <si>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</si>
  <si>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</si>
  <si>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</si>
  <si>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</si>
  <si>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</si>
  <si>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</si>
  <si>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</si>
  <si>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</si>
  <si>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</si>
  <si>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</si>
  <si>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</si>
  <si>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</si>
  <si>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</si>
  <si>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</si>
  <si>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</si>
  <si>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</si>
  <si>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</si>
  <si>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</si>
  <si>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</si>
  <si>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</si>
  <si>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</si>
  <si>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</si>
  <si>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</si>
  <si>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</si>
  <si>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</si>
  <si>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</si>
  <si>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</si>
  <si>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</si>
  <si>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</si>
  <si>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</si>
  <si>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</si>
  <si>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</si>
  <si>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</si>
  <si>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</si>
  <si>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</si>
  <si>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</si>
  <si>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</si>
  <si>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</si>
  <si>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</si>
  <si>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</si>
  <si>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</si>
  <si>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</si>
  <si>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</si>
  <si>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</si>
  <si>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</si>
  <si>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</si>
  <si>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</si>
  <si>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</si>
  <si>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</si>
  <si>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</si>
  <si>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</si>
  <si>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</si>
  <si>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</si>
  <si>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</si>
  <si>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</si>
  <si>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</si>
  <si>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</si>
  <si>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</si>
  <si>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</si>
  <si>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</si>
  <si>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</si>
  <si>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</si>
  <si>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</si>
  <si>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</si>
  <si>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</si>
  <si>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</si>
  <si>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</si>
  <si>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</si>
  <si>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</si>
  <si>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</si>
  <si>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</si>
  <si>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</si>
  <si>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</si>
  <si>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</si>
  <si>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</si>
  <si>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</si>
  <si>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</si>
  <si>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</si>
  <si>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</si>
  <si>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</si>
  <si>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</si>
  <si>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</si>
  <si>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</si>
  <si>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</si>
  <si>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</si>
  <si>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</si>
  <si>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</si>
  <si>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</si>
  <si>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</si>
  <si>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</si>
  <si>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</si>
  <si>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</si>
  <si>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</si>
  <si>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</si>
  <si>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</si>
  <si>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</si>
  <si>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</si>
  <si>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</si>
  <si>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</si>
  <si>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</si>
  <si>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</si>
  <si>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</si>
  <si>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</si>
  <si>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</si>
  <si>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</si>
  <si>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</si>
  <si>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</si>
  <si>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</si>
  <si>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</si>
  <si>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</si>
  <si>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</si>
  <si>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</si>
  <si>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</si>
  <si>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</si>
  <si>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</si>
  <si>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</si>
  <si>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</si>
  <si>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</si>
  <si>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</si>
  <si>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</si>
  <si>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</si>
  <si>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</si>
  <si>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</si>
  <si>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</si>
  <si>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</si>
  <si>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</si>
  <si>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</si>
  <si>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</si>
  <si>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</si>
  <si>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</si>
  <si>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</si>
  <si>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</si>
  <si>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</si>
  <si>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</si>
  <si>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</si>
  <si>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</si>
  <si>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</si>
  <si>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</si>
  <si>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</si>
  <si>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</si>
  <si>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</si>
  <si>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</si>
  <si>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</si>
  <si>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</si>
  <si>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</si>
  <si>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</si>
  <si>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</si>
  <si>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</si>
  <si>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</si>
  <si>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</si>
  <si>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</si>
  <si>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</si>
  <si>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</si>
  <si>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</si>
  <si>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</si>
  <si>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</si>
  <si>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</si>
  <si>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</si>
  <si>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</si>
  <si>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</si>
  <si>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</si>
  <si>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</si>
  <si>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</si>
  <si>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</si>
  <si>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</si>
  <si>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</si>
  <si>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</si>
  <si>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</si>
  <si>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</si>
  <si>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</si>
  <si>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</si>
  <si>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</si>
  <si>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</si>
  <si>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</si>
  <si>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</si>
  <si>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</si>
  <si>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</si>
  <si>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</si>
  <si>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</si>
  <si>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</si>
  <si>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</si>
  <si>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</si>
  <si>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</si>
  <si>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</si>
  <si>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</si>
  <si>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</si>
  <si>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</si>
  <si>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</si>
  <si>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</si>
  <si>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</si>
  <si>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</si>
  <si>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</si>
  <si>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</si>
  <si>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</si>
  <si>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</si>
  <si>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</si>
  <si>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</si>
  <si>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</si>
  <si>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</si>
  <si>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</si>
  <si>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</si>
  <si>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</si>
  <si>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</si>
  <si>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</si>
  <si>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</si>
  <si>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</si>
  <si>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</si>
  <si>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</si>
  <si>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</si>
  <si>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Martina Kliček</t>
  </si>
  <si>
    <t>042/493-332; 042/493-389</t>
  </si>
  <si>
    <t>mklicek@unin.hr; racunovodstvo@unin.hr</t>
  </si>
  <si>
    <t>48267 SVEUČILIŠTE SJEVER</t>
  </si>
  <si>
    <t>01.01.2022.</t>
  </si>
  <si>
    <t>31.12.2023.</t>
  </si>
  <si>
    <t>BBR Adria d.o.o.</t>
  </si>
  <si>
    <t>01.03.2020.</t>
  </si>
  <si>
    <t>02.11.2023.</t>
  </si>
  <si>
    <t>Tehnička škola Čakovec</t>
  </si>
  <si>
    <t>Operativni program Učinkoviti ljudski potencijali 2014-2020 , broj ugovora  UP.03.3.1.4.0006, Uspostava regionalnih centara kompetentnosti u strukovnom obrazovanju i u podsektorima strojarstva, elektrotehnika, računalstvo, poljoprivreda i zdravstvo</t>
  </si>
  <si>
    <t>01.06.2020.</t>
  </si>
  <si>
    <t>31.05.2023.</t>
  </si>
  <si>
    <t>Agencija za mobilnost i programe EU</t>
  </si>
  <si>
    <t>2020-1-HR01-KA103-077122</t>
  </si>
  <si>
    <t>31.07.2023.</t>
  </si>
  <si>
    <t>2020-1-HR01-KA107-077529</t>
  </si>
  <si>
    <t>01.09.2021.</t>
  </si>
  <si>
    <t>31.10.2023.</t>
  </si>
  <si>
    <t>2021-1-HR01-KA131-HED-000010143</t>
  </si>
  <si>
    <t>01.08.2022.</t>
  </si>
  <si>
    <t>31.07.2025.</t>
  </si>
  <si>
    <t>2022-1-HR01-KA171-HED-00007809</t>
  </si>
  <si>
    <t>01.06.2022.</t>
  </si>
  <si>
    <t>30.07.2024.</t>
  </si>
  <si>
    <t>2022-1-HR01-KA131-HED-000064208</t>
  </si>
  <si>
    <t>Telecentar d.d.</t>
  </si>
  <si>
    <t>01.01.2021.</t>
  </si>
  <si>
    <t>09.03.2019.</t>
  </si>
  <si>
    <t>31.03.2023.</t>
  </si>
  <si>
    <t>Grafički fakultet Zagreb</t>
  </si>
  <si>
    <t>MINISTARSTVO ZNANOSTI I OBRAZOVANJA  (1222)</t>
  </si>
  <si>
    <t>HRVATSKA ZAKLADA ZA ZNANOST (52209)</t>
  </si>
  <si>
    <t>01.02.2022.</t>
  </si>
  <si>
    <t>31.01.2025.</t>
  </si>
  <si>
    <t>Ocellus Information Systems AB</t>
  </si>
  <si>
    <t>Obuka o izgradnji informacijskih modela integriranih s geografskim informacijama</t>
  </si>
  <si>
    <t>Koprivnica, 21. prosinca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</si>
</sst>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4" fillId="0" borderId="1" xfId="18" applyNumberFormat="1" applyFont="1" applyFill="1" applyAlignment="1" applyProtection="1">
      <alignment horizontal="left" vertical="center" wrapText="1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16" zoomScaleNormal="100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2" t="s">
        <v>5280</v>
      </c>
      <c r="D3" s="353"/>
      <c r="E3" s="354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5" t="s">
        <v>5314</v>
      </c>
      <c r="D4" s="356"/>
      <c r="E4" s="357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5" t="s">
        <v>5277</v>
      </c>
      <c r="D5" s="356"/>
      <c r="E5" s="357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5" t="s">
        <v>5278</v>
      </c>
      <c r="D6" s="356"/>
      <c r="E6" s="357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5" t="s">
        <v>5279</v>
      </c>
      <c r="D7" s="356"/>
      <c r="E7" s="357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2" t="s">
        <v>5270</v>
      </c>
      <c r="C9" s="361"/>
      <c r="D9" s="361"/>
      <c r="E9" s="361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2" t="s">
        <v>3</v>
      </c>
      <c r="C11" s="361"/>
      <c r="D11" s="361"/>
      <c r="E11" s="361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8" t="s">
        <v>5082</v>
      </c>
      <c r="C13" s="359"/>
      <c r="D13" s="359"/>
      <c r="E13" s="359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11627093</v>
      </c>
      <c r="D16" s="107">
        <f>+D17+D18</f>
        <v>10479513</v>
      </c>
      <c r="E16" s="107">
        <f>+E17+E18</f>
        <v>10346355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11624439</v>
      </c>
      <c r="D17" s="110">
        <f>+'A.1 PRIHODI'!D30</f>
        <v>10476859</v>
      </c>
      <c r="E17" s="110">
        <f>+'A.1 PRIHODI'!D44</f>
        <v>10343701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2654</v>
      </c>
      <c r="D18" s="110">
        <f>+'A.1 PRIHODI'!D33</f>
        <v>2654</v>
      </c>
      <c r="E18" s="110">
        <f>+'A.1 PRIHODI'!D47</f>
        <v>2654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16224540</v>
      </c>
      <c r="D19" s="114">
        <f>+D20+D21</f>
        <v>10269730</v>
      </c>
      <c r="E19" s="114">
        <f>+E20+E21</f>
        <v>10186355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11642409</v>
      </c>
      <c r="D20" s="116">
        <f>+'A.2 RASHODI'!D22</f>
        <v>9893726</v>
      </c>
      <c r="E20" s="116">
        <f>+'A.2 RASHODI'!D39</f>
        <v>9890181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4582131</v>
      </c>
      <c r="D21" s="116">
        <f>+'A.2 RASHODI'!D30</f>
        <v>376004</v>
      </c>
      <c r="E21" s="116">
        <f>+'A.2 RASHODI'!D47</f>
        <v>296174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-4597447</v>
      </c>
      <c r="D22" s="107">
        <f>+D16-D19</f>
        <v>209783</v>
      </c>
      <c r="E22" s="107">
        <f>+E16-E19</f>
        <v>160000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0"/>
      <c r="C23" s="361"/>
      <c r="D23" s="361"/>
      <c r="E23" s="361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2" t="s">
        <v>5085</v>
      </c>
      <c r="C24" s="361"/>
      <c r="D24" s="361"/>
      <c r="E24" s="361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4742197</v>
      </c>
      <c r="D29" s="115">
        <f>+'Unos prijenosa'!D13</f>
        <v>144750</v>
      </c>
      <c r="E29" s="115">
        <f>+'Unos prijenosa'!D21</f>
        <v>354533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-144750</v>
      </c>
      <c r="D30" s="119">
        <f>+'Unos prijenosa'!D15</f>
        <v>-354533</v>
      </c>
      <c r="E30" s="120">
        <f>+'Unos prijenosa'!D23</f>
        <v>-514533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4597447</v>
      </c>
      <c r="D31" s="114">
        <f t="shared" ref="D31:E31" si="2">+D27-D28+D29+D30</f>
        <v>-209783</v>
      </c>
      <c r="E31" s="114">
        <f t="shared" si="2"/>
        <v>-160000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0"/>
      <c r="C32" s="361"/>
      <c r="D32" s="361"/>
      <c r="E32" s="361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2" t="s">
        <v>5270</v>
      </c>
      <c r="C55" s="361"/>
      <c r="D55" s="361"/>
      <c r="E55" s="361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2" t="s">
        <v>3</v>
      </c>
      <c r="C57" s="361"/>
      <c r="D57" s="361"/>
      <c r="E57" s="361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8" t="s">
        <v>5082</v>
      </c>
      <c r="C59" s="359"/>
      <c r="D59" s="359"/>
      <c r="E59" s="359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87604332.208499998</v>
      </c>
      <c r="D62" s="107">
        <f>+D63+D64</f>
        <v>78957890.698499992</v>
      </c>
      <c r="E62" s="107">
        <f>+E63+E64</f>
        <v>77954611.747500002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87584335.645500004</v>
      </c>
      <c r="D63" s="110">
        <f t="shared" ref="D63:E63" si="3">+D17*7.5345</f>
        <v>78937894.135499999</v>
      </c>
      <c r="E63" s="110">
        <f t="shared" si="3"/>
        <v>77934615.184500009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19996.563000000002</v>
      </c>
      <c r="D64" s="110">
        <f t="shared" ref="D64:E67" si="4">+D18*7.5345</f>
        <v>19996.563000000002</v>
      </c>
      <c r="E64" s="110">
        <f t="shared" si="4"/>
        <v>19996.563000000002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122243796.63000001</v>
      </c>
      <c r="D65" s="114">
        <f>+D66+D67</f>
        <v>77377280.685000002</v>
      </c>
      <c r="E65" s="114">
        <f>+E66+E67</f>
        <v>76749091.747500017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87719730.610500008</v>
      </c>
      <c r="D66" s="110">
        <f t="shared" si="4"/>
        <v>74544278.547000006</v>
      </c>
      <c r="E66" s="110">
        <f t="shared" si="4"/>
        <v>74517568.744500011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34524066.019500002</v>
      </c>
      <c r="D67" s="110">
        <f t="shared" si="4"/>
        <v>2833002.1380000003</v>
      </c>
      <c r="E67" s="110">
        <f t="shared" si="4"/>
        <v>2231523.003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-34639464.421500012</v>
      </c>
      <c r="D68" s="107">
        <f>+D62-D65</f>
        <v>1580610.0134999901</v>
      </c>
      <c r="E68" s="107">
        <f>+E62-E65</f>
        <v>1205519.9999999851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60"/>
      <c r="C69" s="361"/>
      <c r="D69" s="361"/>
      <c r="E69" s="361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2" t="s">
        <v>5085</v>
      </c>
      <c r="C70" s="361"/>
      <c r="D70" s="361"/>
      <c r="E70" s="361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35730083.296500005</v>
      </c>
      <c r="D75" s="110">
        <f t="shared" si="9"/>
        <v>1090618.875</v>
      </c>
      <c r="E75" s="110">
        <f t="shared" si="9"/>
        <v>2671228.8885000004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-1090618.875</v>
      </c>
      <c r="D76" s="110">
        <f t="shared" si="10"/>
        <v>-2671228.8885000004</v>
      </c>
      <c r="E76" s="110">
        <f t="shared" si="10"/>
        <v>-3876748.8885000004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34639464.421500005</v>
      </c>
      <c r="D77" s="114">
        <f t="shared" ref="D77:E77" si="11">+D73-D74+D75+D76</f>
        <v>-1580610.0135000004</v>
      </c>
      <c r="E77" s="114">
        <f t="shared" si="11"/>
        <v>-1205520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60"/>
      <c r="C78" s="361"/>
      <c r="D78" s="361"/>
      <c r="E78" s="361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-1.0244548320770264E-8</v>
      </c>
      <c r="E79" s="124">
        <f t="shared" si="12"/>
        <v>-1.4901161193847656E-8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6" t="s">
        <v>5115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7" t="s">
        <v>236</v>
      </c>
      <c r="C4" s="368"/>
      <c r="D4" s="369" t="s">
        <v>1711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1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7" t="s">
        <v>236</v>
      </c>
      <c r="C15" s="368"/>
      <c r="D15" s="369" t="s">
        <v>1782</v>
      </c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1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7" t="s">
        <v>236</v>
      </c>
      <c r="C26" s="368"/>
      <c r="D26" s="369" t="s">
        <v>3026</v>
      </c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1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0866141732283472" right="0.70866141732283472" top="0.74803149606299213" bottom="0.74803149606299213" header="0.31496062992125984" footer="0.31496062992125984"/>
  <pageSetup paperSize="8" scale="5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34" workbookViewId="0">
      <selection activeCell="E62" sqref="E62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87" sqref="B87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A19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2" t="s">
        <v>3542</v>
      </c>
      <c r="B1" s="372"/>
      <c r="C1" s="372"/>
      <c r="D1" s="372"/>
      <c r="E1" s="372"/>
      <c r="F1" s="372"/>
      <c r="G1" s="372"/>
      <c r="H1" s="372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3" t="s">
        <v>5080</v>
      </c>
      <c r="B615" s="373"/>
      <c r="C615" s="373"/>
      <c r="D615" s="373"/>
      <c r="E615" s="373"/>
      <c r="F615" s="373"/>
      <c r="G615" s="373"/>
      <c r="H615" s="373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110" zoomScaleNormal="110" workbookViewId="0">
      <pane ySplit="2" topLeftCell="A3" activePane="bottomLeft" state="frozen"/>
      <selection pane="bottomLeft" activeCell="I20" sqref="I20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3" t="s">
        <v>5271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6704972</v>
      </c>
      <c r="H3" s="128">
        <v>6067622</v>
      </c>
      <c r="I3" s="128">
        <v>6095402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1248289</v>
      </c>
      <c r="H4" s="128">
        <v>1248289</v>
      </c>
      <c r="I4" s="128">
        <v>1248289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641320031</v>
      </c>
      <c r="F5" s="134" t="str">
        <f t="shared" si="2"/>
        <v>Kamate na depozite po viđenju izvor 31</v>
      </c>
      <c r="G5" s="128">
        <v>332</v>
      </c>
      <c r="H5" s="128">
        <v>335</v>
      </c>
      <c r="I5" s="128">
        <v>335</v>
      </c>
      <c r="J5" s="95"/>
      <c r="L5" s="86" t="str">
        <f t="shared" si="3"/>
        <v>64</v>
      </c>
      <c r="M5" s="86" t="str">
        <f t="shared" si="4"/>
        <v>641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642990031</v>
      </c>
      <c r="F6" s="134" t="str">
        <f t="shared" si="2"/>
        <v>Ostali prihodi od nefinancijske imovine izvor 31</v>
      </c>
      <c r="G6" s="128">
        <v>1991</v>
      </c>
      <c r="H6" s="128">
        <v>1200</v>
      </c>
      <c r="I6" s="128">
        <v>1200</v>
      </c>
      <c r="J6" s="95"/>
      <c r="L6" s="86" t="str">
        <f t="shared" si="3"/>
        <v>64</v>
      </c>
      <c r="M6" s="86" t="str">
        <f t="shared" si="4"/>
        <v>642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6614</v>
      </c>
      <c r="F7" s="134" t="str">
        <f t="shared" si="2"/>
        <v>Prihodi od prodanih proizvoda i robe</v>
      </c>
      <c r="G7" s="128">
        <v>5309</v>
      </c>
      <c r="H7" s="128">
        <v>5310</v>
      </c>
      <c r="I7" s="128">
        <v>5310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31</v>
      </c>
      <c r="D8" s="83" t="str">
        <f t="shared" si="1"/>
        <v>Vlastiti prihodi</v>
      </c>
      <c r="E8" s="95">
        <v>6615</v>
      </c>
      <c r="F8" s="134" t="str">
        <f t="shared" si="2"/>
        <v>Prihodi od pruženih usluga</v>
      </c>
      <c r="G8" s="128">
        <v>265446</v>
      </c>
      <c r="H8" s="128">
        <f>310000+31130</f>
        <v>341130</v>
      </c>
      <c r="I8" s="128">
        <v>350000</v>
      </c>
      <c r="J8" s="95"/>
      <c r="L8" s="86" t="str">
        <f t="shared" si="3"/>
        <v>66</v>
      </c>
      <c r="M8" s="86" t="str">
        <f t="shared" si="4"/>
        <v>661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43</v>
      </c>
      <c r="D9" s="83" t="str">
        <f t="shared" si="1"/>
        <v>Ostali prihodi za posebne namjene</v>
      </c>
      <c r="E9" s="95">
        <v>65264</v>
      </c>
      <c r="F9" s="134" t="str">
        <f t="shared" si="2"/>
        <v>Sufinanciranje cijene usluge, participacije i slično</v>
      </c>
      <c r="G9" s="128">
        <v>2528370</v>
      </c>
      <c r="H9" s="128">
        <f>2528370+30000</f>
        <v>2558370</v>
      </c>
      <c r="I9" s="128">
        <f>2528370+56500-50000</f>
        <v>2534870</v>
      </c>
      <c r="J9" s="95"/>
      <c r="L9" s="86" t="str">
        <f t="shared" si="3"/>
        <v>65</v>
      </c>
      <c r="M9" s="86" t="str">
        <f t="shared" si="4"/>
        <v>652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61</v>
      </c>
      <c r="D10" s="83" t="str">
        <f t="shared" si="1"/>
        <v xml:space="preserve">Donacije </v>
      </c>
      <c r="E10" s="95">
        <v>663120000</v>
      </c>
      <c r="F10" s="134" t="str">
        <f t="shared" si="2"/>
        <v>Tekuće donacije od neprofitnih organizacija</v>
      </c>
      <c r="G10" s="128">
        <v>5030</v>
      </c>
      <c r="H10" s="128">
        <v>1327</v>
      </c>
      <c r="I10" s="128">
        <v>1327</v>
      </c>
      <c r="J10" s="95"/>
      <c r="L10" s="86" t="str">
        <f t="shared" si="3"/>
        <v>66</v>
      </c>
      <c r="M10" s="86" t="str">
        <f t="shared" si="4"/>
        <v>663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71</v>
      </c>
      <c r="D11" s="83" t="str">
        <f t="shared" si="1"/>
        <v>Prihodi od prodaje ili zamjene nefinancijske imovine i naknade s naslova osiguranja</v>
      </c>
      <c r="E11" s="95">
        <v>722110071</v>
      </c>
      <c r="F11" s="134" t="str">
        <f t="shared" si="2"/>
        <v>Računala i računalna oprema izvor 71</v>
      </c>
      <c r="G11" s="128">
        <v>1327</v>
      </c>
      <c r="H11" s="128">
        <v>1327</v>
      </c>
      <c r="I11" s="128">
        <v>1327</v>
      </c>
      <c r="J11" s="95"/>
      <c r="L11" s="86" t="str">
        <f t="shared" si="3"/>
        <v>72</v>
      </c>
      <c r="M11" s="86" t="str">
        <f t="shared" si="4"/>
        <v>722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71</v>
      </c>
      <c r="D12" s="83" t="str">
        <f t="shared" si="1"/>
        <v>Prihodi od nefin. imovine i nadoknade štete s osnova osig.</v>
      </c>
      <c r="E12" s="95">
        <v>722720071</v>
      </c>
      <c r="F12" s="134" t="str">
        <f t="shared" si="2"/>
        <v>Strojevi - izvor 71</v>
      </c>
      <c r="G12" s="128">
        <v>1327</v>
      </c>
      <c r="H12" s="128">
        <v>1327</v>
      </c>
      <c r="I12" s="128">
        <v>1327</v>
      </c>
      <c r="J12" s="95"/>
      <c r="L12" s="86" t="str">
        <f t="shared" si="3"/>
        <v>72</v>
      </c>
      <c r="M12" s="86" t="str">
        <f t="shared" si="4"/>
        <v>722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61</v>
      </c>
      <c r="D13" s="83" t="str">
        <f t="shared" si="1"/>
        <v xml:space="preserve">Donacije </v>
      </c>
      <c r="E13" s="95">
        <v>663130000</v>
      </c>
      <c r="F13" s="134" t="str">
        <f t="shared" si="2"/>
        <v>Tekuće donacije od trgovačkih društava</v>
      </c>
      <c r="G13" s="128">
        <v>684186</v>
      </c>
      <c r="H13" s="128">
        <v>119583</v>
      </c>
      <c r="I13" s="128">
        <v>0</v>
      </c>
      <c r="J13" s="129" t="s">
        <v>3383</v>
      </c>
      <c r="L13" s="86" t="str">
        <f t="shared" si="3"/>
        <v>66</v>
      </c>
      <c r="M13" s="86" t="str">
        <f t="shared" si="4"/>
        <v>663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6381</v>
      </c>
      <c r="F14" s="134" t="str">
        <f t="shared" si="2"/>
        <v>Tekuće pomoći temeljem prijenosa EU sredstava iz proračuna JLP(R)S, korisnika JLPRS ili izvanproračunskog korisnika</v>
      </c>
      <c r="G14" s="128">
        <v>5645</v>
      </c>
      <c r="H14" s="128">
        <v>0</v>
      </c>
      <c r="I14" s="128">
        <v>0</v>
      </c>
      <c r="J14" s="129" t="s">
        <v>3380</v>
      </c>
      <c r="L14" s="86" t="str">
        <f t="shared" si="3"/>
        <v>63</v>
      </c>
      <c r="M14" s="86" t="str">
        <f t="shared" si="4"/>
        <v>638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52</v>
      </c>
      <c r="D15" s="83" t="str">
        <f t="shared" si="1"/>
        <v xml:space="preserve">Ostale pomoći i darovnice </v>
      </c>
      <c r="E15" s="95">
        <v>6391</v>
      </c>
      <c r="F15" s="134" t="str">
        <f t="shared" si="2"/>
        <v>Tekući prijenosi između proračunskih korisnika istog proračuna</v>
      </c>
      <c r="G15" s="128">
        <v>83476</v>
      </c>
      <c r="H15" s="128">
        <v>40710</v>
      </c>
      <c r="I15" s="128">
        <v>37065</v>
      </c>
      <c r="J15" s="129" t="s">
        <v>864</v>
      </c>
      <c r="L15" s="86" t="str">
        <f t="shared" si="3"/>
        <v>63</v>
      </c>
      <c r="M15" s="86" t="str">
        <f t="shared" si="4"/>
        <v>639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6391</v>
      </c>
      <c r="F16" s="134" t="str">
        <f t="shared" si="2"/>
        <v>Tekući prijenosi između proračunskih korisnika istog proračuna</v>
      </c>
      <c r="G16" s="128">
        <v>2701</v>
      </c>
      <c r="H16" s="128">
        <v>0</v>
      </c>
      <c r="I16" s="128">
        <v>0</v>
      </c>
      <c r="J16" s="95" t="s">
        <v>5308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6391</v>
      </c>
      <c r="F17" s="134" t="str">
        <f t="shared" si="2"/>
        <v>Tekući prijenosi između proračunskih korisnika istog proračuna</v>
      </c>
      <c r="G17" s="128">
        <v>53554</v>
      </c>
      <c r="H17" s="128">
        <v>52225</v>
      </c>
      <c r="I17" s="128">
        <v>43765</v>
      </c>
      <c r="J17" s="95" t="s">
        <v>5309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51</v>
      </c>
      <c r="D18" s="83" t="str">
        <f t="shared" si="1"/>
        <v xml:space="preserve">Pomoći EU </v>
      </c>
      <c r="E18" s="95">
        <v>632311700</v>
      </c>
      <c r="F18" s="134" t="str">
        <f t="shared" si="2"/>
        <v>Tekuće pomoći od institucija i tijela EU - ostalo</v>
      </c>
      <c r="G18" s="128">
        <v>10000</v>
      </c>
      <c r="H18" s="128">
        <v>15620</v>
      </c>
      <c r="I18" s="128">
        <v>1000</v>
      </c>
      <c r="J18" s="95"/>
      <c r="L18" s="86" t="str">
        <f t="shared" si="3"/>
        <v>63</v>
      </c>
      <c r="M18" s="86" t="str">
        <f t="shared" si="4"/>
        <v>632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11</v>
      </c>
      <c r="D19" s="83" t="str">
        <f t="shared" si="1"/>
        <v>Opći prihodi i primici</v>
      </c>
      <c r="E19" s="95" t="s">
        <v>650</v>
      </c>
      <c r="F19" s="134" t="str">
        <f t="shared" si="2"/>
        <v>Prihodi iz nadležnog proračuna za financiranje redovne djelatnosti proračunskih korisnika</v>
      </c>
      <c r="G19" s="128">
        <v>25138</v>
      </c>
      <c r="H19" s="128">
        <v>25138</v>
      </c>
      <c r="I19" s="128">
        <v>25138</v>
      </c>
      <c r="J19" s="95"/>
      <c r="L19" s="86" t="str">
        <f t="shared" si="3"/>
        <v>67</v>
      </c>
      <c r="M19" s="86" t="str">
        <f t="shared" si="4"/>
        <v>671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2654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16:J499">
    <cfRule type="expression" dxfId="4" priority="3">
      <formula>IF(OR(E16=6391,E16=6392,E16=6393,E16=6394),1,0)</formula>
    </cfRule>
  </conditionalFormatting>
  <conditionalFormatting sqref="J3">
    <cfRule type="expression" dxfId="3" priority="2">
      <formula>IF(OR(E3=6391,E3=6392,E3=6393,E3=6394),1,0)</formula>
    </cfRule>
  </conditionalFormatting>
  <conditionalFormatting sqref="J4:J12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8" scale="8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140" zoomScaleNormal="140" zoomScaleSheetLayoutView="110" workbookViewId="0">
      <pane ySplit="2" topLeftCell="A63" activePane="bottomLeft" state="frozen"/>
      <selection pane="bottomLeft" activeCell="J72" sqref="J72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4" t="s">
        <v>5272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142</v>
      </c>
      <c r="H3" s="91" t="str">
        <f>IFERROR(VLOOKUP(G3,$AB$6:$AC$327,2,FALSE),"")</f>
        <v>REDOVNA DJELATNOST SVEUČILIŠTA SJEVER</v>
      </c>
      <c r="I3" s="91" t="str">
        <f>IFERROR(VLOOKUP(G3,$AB$6:$AF$327,3,FALSE),"")</f>
        <v>0942</v>
      </c>
      <c r="J3" s="128">
        <v>5410920</v>
      </c>
      <c r="K3" s="128">
        <v>4901914</v>
      </c>
      <c r="L3" s="128">
        <v>4929694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142</v>
      </c>
      <c r="H4" s="91" t="str">
        <f t="shared" ref="H4:H67" si="3">IFERROR(VLOOKUP(G4,$AB$6:$AC$327,2,FALSE),"")</f>
        <v>REDOVNA DJELATNOST SVEUČILIŠTA SJEVER</v>
      </c>
      <c r="I4" s="91" t="str">
        <f t="shared" ref="I4:I67" si="4">IFERROR(VLOOKUP(G4,$AB$6:$AF$327,3,FALSE),"")</f>
        <v>0942</v>
      </c>
      <c r="J4" s="128">
        <v>128265</v>
      </c>
      <c r="K4" s="128">
        <v>115544</v>
      </c>
      <c r="L4" s="128">
        <v>115544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142</v>
      </c>
      <c r="H5" s="91" t="str">
        <f t="shared" si="3"/>
        <v>REDOVNA DJELATNOST SVEUČILIŠTA SJEVER</v>
      </c>
      <c r="I5" s="91" t="str">
        <f t="shared" si="4"/>
        <v>0942</v>
      </c>
      <c r="J5" s="128">
        <v>756271</v>
      </c>
      <c r="K5" s="128">
        <v>681264</v>
      </c>
      <c r="L5" s="128">
        <v>681264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142</v>
      </c>
      <c r="H6" s="91" t="str">
        <f t="shared" si="3"/>
        <v>REDOVNA DJELATNOST SVEUČILIŠTA SJEVER</v>
      </c>
      <c r="I6" s="91" t="str">
        <f t="shared" si="4"/>
        <v>0942</v>
      </c>
      <c r="J6" s="128">
        <v>362052</v>
      </c>
      <c r="K6" s="128">
        <v>326144</v>
      </c>
      <c r="L6" s="128">
        <v>326144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142</v>
      </c>
      <c r="H7" s="91" t="str">
        <f t="shared" si="3"/>
        <v>REDOVNA DJELATNOST SVEUČILIŠTA SJEVER</v>
      </c>
      <c r="I7" s="91" t="str">
        <f t="shared" si="4"/>
        <v>0942</v>
      </c>
      <c r="J7" s="128">
        <v>27758</v>
      </c>
      <c r="K7" s="128">
        <v>25005</v>
      </c>
      <c r="L7" s="128">
        <v>25005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142</v>
      </c>
      <c r="H8" s="91" t="str">
        <f t="shared" si="3"/>
        <v>REDOVNA DJELATNOST SVEUČILIŠTA SJEVER</v>
      </c>
      <c r="I8" s="91" t="str">
        <f t="shared" si="4"/>
        <v>0942</v>
      </c>
      <c r="J8" s="128">
        <v>4973</v>
      </c>
      <c r="K8" s="128">
        <v>4479</v>
      </c>
      <c r="L8" s="128">
        <v>4479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3811</v>
      </c>
      <c r="F9" s="91" t="str">
        <f t="shared" si="2"/>
        <v>Tekuće donacije u novcu</v>
      </c>
      <c r="G9" s="129" t="s">
        <v>1876</v>
      </c>
      <c r="H9" s="91" t="str">
        <f t="shared" si="3"/>
        <v>PROGRAMI POBOLJŠANJA STUDENTSKOG STANDARDA</v>
      </c>
      <c r="I9" s="91" t="str">
        <f t="shared" si="4"/>
        <v>0960</v>
      </c>
      <c r="J9" s="128">
        <v>14733</v>
      </c>
      <c r="K9" s="128">
        <v>13272</v>
      </c>
      <c r="L9" s="128">
        <v>13272</v>
      </c>
      <c r="M9" s="95"/>
      <c r="O9" s="86" t="str">
        <f t="shared" si="5"/>
        <v>381</v>
      </c>
      <c r="P9" s="86" t="str">
        <f t="shared" si="6"/>
        <v>38</v>
      </c>
      <c r="Q9" s="86" t="str">
        <f t="shared" si="7"/>
        <v>11</v>
      </c>
      <c r="R9" s="86" t="str">
        <f t="shared" si="8"/>
        <v>96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3113</v>
      </c>
      <c r="F10" s="91" t="str">
        <f t="shared" si="2"/>
        <v>Plaće za prekovremeni rad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266224</v>
      </c>
      <c r="K10" s="128">
        <v>266224</v>
      </c>
      <c r="L10" s="128">
        <v>266224</v>
      </c>
      <c r="M10" s="95"/>
      <c r="O10" s="86" t="str">
        <f t="shared" si="5"/>
        <v>311</v>
      </c>
      <c r="P10" s="86" t="str">
        <f t="shared" si="6"/>
        <v>31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3132</v>
      </c>
      <c r="F11" s="91" t="str">
        <f t="shared" si="2"/>
        <v>Doprinosi za obvezno zdravstveno osiguranje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43972</v>
      </c>
      <c r="K11" s="128">
        <v>43972</v>
      </c>
      <c r="L11" s="128">
        <v>43972</v>
      </c>
      <c r="M11" s="95"/>
      <c r="O11" s="86" t="str">
        <f t="shared" si="5"/>
        <v>313</v>
      </c>
      <c r="P11" s="86" t="str">
        <f t="shared" si="6"/>
        <v>31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3211</v>
      </c>
      <c r="F12" s="91" t="str">
        <f t="shared" si="2"/>
        <v>Službena putovanja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62553</v>
      </c>
      <c r="K12" s="128">
        <v>62553</v>
      </c>
      <c r="L12" s="128">
        <v>62553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3213</v>
      </c>
      <c r="F13" s="91" t="str">
        <f t="shared" si="2"/>
        <v>Stručno usavršavanje zaposlenika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59725</v>
      </c>
      <c r="K13" s="128">
        <v>59725</v>
      </c>
      <c r="L13" s="128">
        <v>59725</v>
      </c>
      <c r="M13" s="95"/>
      <c r="O13" s="86" t="str">
        <f t="shared" si="5"/>
        <v>321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3221</v>
      </c>
      <c r="F14" s="91" t="str">
        <f t="shared" si="2"/>
        <v>Uredski materijal i ostali materijalni rashodi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57071</v>
      </c>
      <c r="K14" s="128">
        <f>24000+33071</f>
        <v>57071</v>
      </c>
      <c r="L14" s="128">
        <f>24000+33071</f>
        <v>57071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3225</v>
      </c>
      <c r="F15" s="91" t="str">
        <f t="shared" si="2"/>
        <v>Sitni inventar i auto gume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9291</v>
      </c>
      <c r="K15" s="128">
        <v>9291</v>
      </c>
      <c r="L15" s="128">
        <v>9291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3231</v>
      </c>
      <c r="F16" s="91" t="str">
        <f t="shared" si="2"/>
        <v>Usluge telefona, pošte i prijevoza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19908</v>
      </c>
      <c r="K16" s="128">
        <v>19908</v>
      </c>
      <c r="L16" s="128">
        <v>19908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3233</v>
      </c>
      <c r="F17" s="91" t="str">
        <f t="shared" si="2"/>
        <v>Usluge promidžbe i informiranja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41144</v>
      </c>
      <c r="K17" s="128">
        <v>41144</v>
      </c>
      <c r="L17" s="128">
        <v>41144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3235</v>
      </c>
      <c r="F18" s="91" t="str">
        <f t="shared" si="2"/>
        <v>Zakupnine i najamnine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14600</v>
      </c>
      <c r="K18" s="128">
        <v>14600</v>
      </c>
      <c r="L18" s="128">
        <v>14600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3237</v>
      </c>
      <c r="F19" s="91" t="str">
        <f t="shared" si="2"/>
        <v>Intelektualne i osobne usluge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f>529564-161960</f>
        <v>367604</v>
      </c>
      <c r="K19" s="128">
        <v>367604</v>
      </c>
      <c r="L19" s="128">
        <v>367604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3239</v>
      </c>
      <c r="F20" s="91" t="str">
        <f t="shared" si="2"/>
        <v>Ostale usluge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46453</v>
      </c>
      <c r="K20" s="128">
        <v>46453</v>
      </c>
      <c r="L20" s="128">
        <v>46453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3241</v>
      </c>
      <c r="F21" s="91" t="str">
        <f t="shared" si="2"/>
        <v>Naknade troškova osobama izvan radnog odnosa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69016</v>
      </c>
      <c r="K21" s="128">
        <v>69016</v>
      </c>
      <c r="L21" s="128">
        <v>69016</v>
      </c>
      <c r="M21" s="95"/>
      <c r="O21" s="86" t="str">
        <f t="shared" si="5"/>
        <v>324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3292</v>
      </c>
      <c r="F22" s="91" t="str">
        <f t="shared" si="2"/>
        <v>Premije osiguranja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5309</v>
      </c>
      <c r="K22" s="128">
        <v>5309</v>
      </c>
      <c r="L22" s="128">
        <v>5309</v>
      </c>
      <c r="M22" s="95"/>
      <c r="O22" s="86" t="str">
        <f t="shared" si="5"/>
        <v>329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3293</v>
      </c>
      <c r="F23" s="91" t="str">
        <f t="shared" si="2"/>
        <v>Reprezentacija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664</v>
      </c>
      <c r="K23" s="128">
        <v>664</v>
      </c>
      <c r="L23" s="128">
        <v>664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3294</v>
      </c>
      <c r="F24" s="91" t="str">
        <f t="shared" si="2"/>
        <v>Članarine i norme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13272</v>
      </c>
      <c r="K24" s="128">
        <v>13272</v>
      </c>
      <c r="L24" s="128">
        <v>13272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3721</v>
      </c>
      <c r="F25" s="91" t="str">
        <f t="shared" si="2"/>
        <v>Naknade građanima i kućanstvima u novcu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36707</v>
      </c>
      <c r="K25" s="128">
        <v>36707</v>
      </c>
      <c r="L25" s="128">
        <v>36707</v>
      </c>
      <c r="M25" s="95"/>
      <c r="O25" s="86" t="str">
        <f t="shared" si="5"/>
        <v>372</v>
      </c>
      <c r="P25" s="86" t="str">
        <f t="shared" si="6"/>
        <v>37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3811</v>
      </c>
      <c r="F26" s="91" t="str">
        <f t="shared" si="2"/>
        <v>Tekuće donacije u novcu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27394</v>
      </c>
      <c r="K26" s="128">
        <v>27394</v>
      </c>
      <c r="L26" s="128">
        <v>27394</v>
      </c>
      <c r="M26" s="95"/>
      <c r="O26" s="86" t="str">
        <f t="shared" si="5"/>
        <v>381</v>
      </c>
      <c r="P26" s="86" t="str">
        <f t="shared" si="6"/>
        <v>38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4123</v>
      </c>
      <c r="F27" s="91" t="str">
        <f t="shared" si="2"/>
        <v>Licence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33566</v>
      </c>
      <c r="K27" s="128">
        <v>33566</v>
      </c>
      <c r="L27" s="128">
        <v>33566</v>
      </c>
      <c r="M27" s="95"/>
      <c r="O27" s="86" t="str">
        <f t="shared" si="5"/>
        <v>412</v>
      </c>
      <c r="P27" s="86" t="str">
        <f t="shared" si="6"/>
        <v>41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4124</v>
      </c>
      <c r="F28" s="91" t="str">
        <f t="shared" si="2"/>
        <v>Ostala prava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25603</v>
      </c>
      <c r="K28" s="128">
        <v>25603</v>
      </c>
      <c r="L28" s="128">
        <v>25603</v>
      </c>
      <c r="M28" s="95"/>
      <c r="O28" s="86" t="str">
        <f t="shared" si="5"/>
        <v>412</v>
      </c>
      <c r="P28" s="86" t="str">
        <f t="shared" si="6"/>
        <v>41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4227</v>
      </c>
      <c r="F29" s="91" t="str">
        <f t="shared" si="2"/>
        <v>Uređaji, strojevi i oprema za ostale namjene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f>21245+208</f>
        <v>21453</v>
      </c>
      <c r="K29" s="128">
        <v>21453</v>
      </c>
      <c r="L29" s="128">
        <v>21453</v>
      </c>
      <c r="M29" s="95"/>
      <c r="O29" s="86" t="str">
        <f t="shared" si="5"/>
        <v>422</v>
      </c>
      <c r="P29" s="86" t="str">
        <f t="shared" si="6"/>
        <v>42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4241</v>
      </c>
      <c r="F30" s="91" t="str">
        <f t="shared" si="2"/>
        <v>Knjige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26760</v>
      </c>
      <c r="K30" s="128">
        <v>26760</v>
      </c>
      <c r="L30" s="128">
        <v>26760</v>
      </c>
      <c r="M30" s="95"/>
      <c r="O30" s="86" t="str">
        <f t="shared" si="5"/>
        <v>424</v>
      </c>
      <c r="P30" s="86" t="str">
        <f t="shared" si="6"/>
        <v>42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3221</v>
      </c>
      <c r="F31" s="91" t="str">
        <f t="shared" si="2"/>
        <v>Uredski materijal i ostali materijalni rashodi</v>
      </c>
      <c r="G31" s="129" t="s">
        <v>194</v>
      </c>
      <c r="H31" s="91" t="str">
        <f t="shared" si="3"/>
        <v>REDOVNA DJELATNOST SVEUČILIŠTA SJEVER (IZ EVIDENCIJSKIH PRIHODA)</v>
      </c>
      <c r="I31" s="91" t="str">
        <f t="shared" si="4"/>
        <v>0942</v>
      </c>
      <c r="J31" s="128">
        <v>1062</v>
      </c>
      <c r="K31" s="128">
        <v>1100</v>
      </c>
      <c r="L31" s="128">
        <v>1100</v>
      </c>
      <c r="M31" s="95"/>
      <c r="O31" s="86" t="str">
        <f t="shared" si="5"/>
        <v>322</v>
      </c>
      <c r="P31" s="86" t="str">
        <f t="shared" si="6"/>
        <v>32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3222</v>
      </c>
      <c r="F32" s="91" t="str">
        <f t="shared" si="2"/>
        <v>Materijal i sirovine</v>
      </c>
      <c r="G32" s="129" t="s">
        <v>194</v>
      </c>
      <c r="H32" s="91" t="str">
        <f t="shared" si="3"/>
        <v>REDOVNA DJELATNOST SVEUČILIŠTA SJEVER (IZ EVIDENCIJSKIH PRIHODA)</v>
      </c>
      <c r="I32" s="91" t="str">
        <f t="shared" si="4"/>
        <v>0942</v>
      </c>
      <c r="J32" s="128">
        <v>4645</v>
      </c>
      <c r="K32" s="128">
        <v>4700</v>
      </c>
      <c r="L32" s="128">
        <v>4700</v>
      </c>
      <c r="M32" s="95"/>
      <c r="O32" s="86" t="str">
        <f t="shared" si="5"/>
        <v>322</v>
      </c>
      <c r="P32" s="86" t="str">
        <f t="shared" si="6"/>
        <v>32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3233</v>
      </c>
      <c r="F33" s="91" t="str">
        <f t="shared" si="2"/>
        <v>Usluge promidžbe i informiranja</v>
      </c>
      <c r="G33" s="129" t="s">
        <v>194</v>
      </c>
      <c r="H33" s="91" t="str">
        <f t="shared" si="3"/>
        <v>REDOVNA DJELATNOST SVEUČILIŠTA SJEVER (IZ EVIDENCIJSKIH PRIHODA)</v>
      </c>
      <c r="I33" s="91" t="str">
        <f t="shared" si="4"/>
        <v>0942</v>
      </c>
      <c r="J33" s="128">
        <v>95574</v>
      </c>
      <c r="K33" s="128">
        <v>97245</v>
      </c>
      <c r="L33" s="128">
        <v>97245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3237</v>
      </c>
      <c r="F34" s="91" t="str">
        <f t="shared" si="2"/>
        <v>Intelektualne i osobne usluge</v>
      </c>
      <c r="G34" s="129" t="s">
        <v>194</v>
      </c>
      <c r="H34" s="91" t="str">
        <f t="shared" si="3"/>
        <v>REDOVNA DJELATNOST SVEUČILIŠTA SJEVER (IZ EVIDENCIJSKIH PRIHODA)</v>
      </c>
      <c r="I34" s="91" t="str">
        <f t="shared" si="4"/>
        <v>0942</v>
      </c>
      <c r="J34" s="128">
        <v>85128</v>
      </c>
      <c r="K34" s="128">
        <v>88000</v>
      </c>
      <c r="L34" s="128">
        <v>88000</v>
      </c>
      <c r="M34" s="95"/>
      <c r="O34" s="86" t="str">
        <f t="shared" si="5"/>
        <v>323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3293</v>
      </c>
      <c r="F35" s="91" t="str">
        <f t="shared" si="2"/>
        <v>Reprezentacija</v>
      </c>
      <c r="G35" s="129" t="s">
        <v>194</v>
      </c>
      <c r="H35" s="91" t="str">
        <f t="shared" si="3"/>
        <v>REDOVNA DJELATNOST SVEUČILIŠTA SJEVER (IZ EVIDENCIJSKIH PRIHODA)</v>
      </c>
      <c r="I35" s="91" t="str">
        <f t="shared" si="4"/>
        <v>0942</v>
      </c>
      <c r="J35" s="128">
        <v>5707</v>
      </c>
      <c r="K35" s="128">
        <v>5800</v>
      </c>
      <c r="L35" s="128">
        <v>5800</v>
      </c>
      <c r="M35" s="95"/>
      <c r="O35" s="86" t="str">
        <f t="shared" si="5"/>
        <v>329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61</v>
      </c>
      <c r="D36" s="91" t="str">
        <f t="shared" si="1"/>
        <v>Donacije</v>
      </c>
      <c r="E36" s="96">
        <v>4241</v>
      </c>
      <c r="F36" s="91" t="str">
        <f t="shared" si="2"/>
        <v>Knjige</v>
      </c>
      <c r="G36" s="129" t="s">
        <v>194</v>
      </c>
      <c r="H36" s="91" t="str">
        <f t="shared" si="3"/>
        <v>REDOVNA DJELATNOST SVEUČILIŠTA SJEVER (IZ EVIDENCIJSKIH PRIHODA)</v>
      </c>
      <c r="I36" s="91" t="str">
        <f t="shared" si="4"/>
        <v>0942</v>
      </c>
      <c r="J36" s="128">
        <v>1327</v>
      </c>
      <c r="K36" s="128">
        <v>1327</v>
      </c>
      <c r="L36" s="128">
        <v>1327</v>
      </c>
      <c r="M36" s="95"/>
      <c r="O36" s="86" t="str">
        <f t="shared" si="5"/>
        <v>424</v>
      </c>
      <c r="P36" s="86" t="str">
        <f t="shared" si="6"/>
        <v>42</v>
      </c>
      <c r="Q36" s="86" t="str">
        <f t="shared" si="7"/>
        <v>61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71</v>
      </c>
      <c r="D37" s="91" t="str">
        <f t="shared" si="1"/>
        <v>Prihodi od nefin. imovine i nadoknade štete s osnova osig.</v>
      </c>
      <c r="E37" s="96">
        <v>4227</v>
      </c>
      <c r="F37" s="91" t="str">
        <f t="shared" si="2"/>
        <v>Uređaji, strojevi i oprema za ostale namjene</v>
      </c>
      <c r="G37" s="129" t="s">
        <v>194</v>
      </c>
      <c r="H37" s="91" t="str">
        <f t="shared" si="3"/>
        <v>REDOVNA DJELATNOST SVEUČILIŠTA SJEVER (IZ EVIDENCIJSKIH PRIHODA)</v>
      </c>
      <c r="I37" s="91" t="str">
        <f t="shared" si="4"/>
        <v>0942</v>
      </c>
      <c r="J37" s="128">
        <v>1327</v>
      </c>
      <c r="K37" s="128">
        <v>1327</v>
      </c>
      <c r="L37" s="128">
        <v>1327</v>
      </c>
      <c r="M37" s="95"/>
      <c r="O37" s="86" t="str">
        <f t="shared" si="5"/>
        <v>422</v>
      </c>
      <c r="P37" s="86" t="str">
        <f t="shared" si="6"/>
        <v>42</v>
      </c>
      <c r="Q37" s="86" t="str">
        <f t="shared" si="7"/>
        <v>71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71</v>
      </c>
      <c r="D38" s="91" t="str">
        <f t="shared" si="1"/>
        <v>Prihodi od nefin. imovine i nadoknade štete s osnova osig.</v>
      </c>
      <c r="E38" s="96">
        <v>4241</v>
      </c>
      <c r="F38" s="91" t="str">
        <f t="shared" si="2"/>
        <v>Knjige</v>
      </c>
      <c r="G38" s="129" t="s">
        <v>194</v>
      </c>
      <c r="H38" s="91" t="str">
        <f t="shared" si="3"/>
        <v>REDOVNA DJELATNOST SVEUČILIŠTA SJEVER (IZ EVIDENCIJSKIH PRIHODA)</v>
      </c>
      <c r="I38" s="91" t="str">
        <f t="shared" si="4"/>
        <v>0942</v>
      </c>
      <c r="J38" s="128">
        <v>1327</v>
      </c>
      <c r="K38" s="128">
        <v>1327</v>
      </c>
      <c r="L38" s="128">
        <v>1327</v>
      </c>
      <c r="M38" s="95"/>
      <c r="O38" s="86" t="str">
        <f t="shared" si="5"/>
        <v>424</v>
      </c>
      <c r="P38" s="86" t="str">
        <f t="shared" si="6"/>
        <v>42</v>
      </c>
      <c r="Q38" s="86" t="str">
        <f t="shared" si="7"/>
        <v>71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43</v>
      </c>
      <c r="D39" s="91" t="str">
        <f t="shared" si="1"/>
        <v>Ostali prihodi za posebne namjene</v>
      </c>
      <c r="E39" s="96">
        <v>3111</v>
      </c>
      <c r="F39" s="91" t="str">
        <f t="shared" si="2"/>
        <v>Plaće za redovan rad</v>
      </c>
      <c r="G39" s="129" t="s">
        <v>194</v>
      </c>
      <c r="H39" s="91" t="str">
        <f t="shared" si="3"/>
        <v>REDOVNA DJELATNOST SVEUČILIŠTA SJEVER (IZ EVIDENCIJSKIH PRIHODA)</v>
      </c>
      <c r="I39" s="91" t="str">
        <f t="shared" si="4"/>
        <v>0942</v>
      </c>
      <c r="J39" s="128">
        <v>958843</v>
      </c>
      <c r="K39" s="128">
        <v>962790</v>
      </c>
      <c r="L39" s="128">
        <v>963990</v>
      </c>
      <c r="M39" s="95"/>
      <c r="O39" s="86" t="str">
        <f t="shared" si="5"/>
        <v>311</v>
      </c>
      <c r="P39" s="86" t="str">
        <f t="shared" si="6"/>
        <v>31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43</v>
      </c>
      <c r="D40" s="91" t="str">
        <f t="shared" si="1"/>
        <v>Ostali prihodi za posebne namjene</v>
      </c>
      <c r="E40" s="96">
        <v>3112</v>
      </c>
      <c r="F40" s="91" t="str">
        <f t="shared" si="2"/>
        <v>Plaće u naravi</v>
      </c>
      <c r="G40" s="129" t="s">
        <v>194</v>
      </c>
      <c r="H40" s="91" t="str">
        <f t="shared" si="3"/>
        <v>REDOVNA DJELATNOST SVEUČILIŠTA SJEVER (IZ EVIDENCIJSKIH PRIHODA)</v>
      </c>
      <c r="I40" s="91" t="str">
        <f t="shared" si="4"/>
        <v>0942</v>
      </c>
      <c r="J40" s="128">
        <v>11312</v>
      </c>
      <c r="K40" s="128">
        <v>11312</v>
      </c>
      <c r="L40" s="128">
        <v>11312</v>
      </c>
      <c r="M40" s="95"/>
      <c r="O40" s="86" t="str">
        <f t="shared" si="5"/>
        <v>311</v>
      </c>
      <c r="P40" s="86" t="str">
        <f t="shared" si="6"/>
        <v>31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96">
        <v>3113</v>
      </c>
      <c r="F41" s="91" t="str">
        <f t="shared" si="2"/>
        <v>Plaće za prekovremeni rad</v>
      </c>
      <c r="G41" s="129" t="s">
        <v>194</v>
      </c>
      <c r="H41" s="91" t="str">
        <f t="shared" si="3"/>
        <v>REDOVNA DJELATNOST SVEUČILIŠTA SJEVER (IZ EVIDENCIJSKIH PRIHODA)</v>
      </c>
      <c r="I41" s="91" t="str">
        <f t="shared" si="4"/>
        <v>0942</v>
      </c>
      <c r="J41" s="128">
        <v>10618</v>
      </c>
      <c r="K41" s="128">
        <v>10700</v>
      </c>
      <c r="L41" s="128">
        <v>10700</v>
      </c>
      <c r="M41" s="95"/>
      <c r="O41" s="86" t="str">
        <f t="shared" si="5"/>
        <v>311</v>
      </c>
      <c r="P41" s="86" t="str">
        <f t="shared" si="6"/>
        <v>31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96">
        <v>3121</v>
      </c>
      <c r="F42" s="91" t="str">
        <f t="shared" si="2"/>
        <v>Ostali rashodi za zaposlene</v>
      </c>
      <c r="G42" s="129" t="s">
        <v>194</v>
      </c>
      <c r="H42" s="91" t="str">
        <f t="shared" si="3"/>
        <v>REDOVNA DJELATNOST SVEUČILIŠTA SJEVER (IZ EVIDENCIJSKIH PRIHODA)</v>
      </c>
      <c r="I42" s="91" t="str">
        <f t="shared" si="4"/>
        <v>0942</v>
      </c>
      <c r="J42" s="128">
        <v>449045</v>
      </c>
      <c r="K42" s="128">
        <v>457200</v>
      </c>
      <c r="L42" s="128">
        <v>458000</v>
      </c>
      <c r="M42" s="95"/>
      <c r="O42" s="86" t="str">
        <f t="shared" si="5"/>
        <v>312</v>
      </c>
      <c r="P42" s="86" t="str">
        <f t="shared" si="6"/>
        <v>31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96">
        <v>3132</v>
      </c>
      <c r="F43" s="91" t="str">
        <f t="shared" si="2"/>
        <v>Doprinosi za obvezno zdravstveno osiguranje</v>
      </c>
      <c r="G43" s="129" t="s">
        <v>194</v>
      </c>
      <c r="H43" s="91" t="str">
        <f t="shared" si="3"/>
        <v>REDOVNA DJELATNOST SVEUČILIŠTA SJEVER (IZ EVIDENCIJSKIH PRIHODA)</v>
      </c>
      <c r="I43" s="91" t="str">
        <f t="shared" si="4"/>
        <v>0942</v>
      </c>
      <c r="J43" s="128">
        <v>218943</v>
      </c>
      <c r="K43" s="128">
        <v>220000</v>
      </c>
      <c r="L43" s="128">
        <v>224900</v>
      </c>
      <c r="M43" s="95"/>
      <c r="O43" s="86" t="str">
        <f t="shared" si="5"/>
        <v>313</v>
      </c>
      <c r="P43" s="86" t="str">
        <f t="shared" si="6"/>
        <v>31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3211</v>
      </c>
      <c r="F44" s="91" t="str">
        <f t="shared" si="2"/>
        <v>Službena putovanja</v>
      </c>
      <c r="G44" s="129" t="s">
        <v>194</v>
      </c>
      <c r="H44" s="91" t="str">
        <f t="shared" si="3"/>
        <v>REDOVNA DJELATNOST SVEUČILIŠTA SJEVER (IZ EVIDENCIJSKIH PRIHODA)</v>
      </c>
      <c r="I44" s="91" t="str">
        <f t="shared" si="4"/>
        <v>0942</v>
      </c>
      <c r="J44" s="128">
        <v>57071</v>
      </c>
      <c r="K44" s="128">
        <v>60000</v>
      </c>
      <c r="L44" s="128">
        <v>70000</v>
      </c>
      <c r="M44" s="95"/>
      <c r="O44" s="86" t="str">
        <f t="shared" si="5"/>
        <v>321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3212</v>
      </c>
      <c r="F45" s="91" t="str">
        <f t="shared" si="2"/>
        <v>Naknade za prijevoz, za rad na terenu i odvojeni život</v>
      </c>
      <c r="G45" s="129" t="s">
        <v>194</v>
      </c>
      <c r="H45" s="91" t="str">
        <f t="shared" si="3"/>
        <v>REDOVNA DJELATNOST SVEUČILIŠTA SJEVER (IZ EVIDENCIJSKIH PRIHODA)</v>
      </c>
      <c r="I45" s="91" t="str">
        <f t="shared" si="4"/>
        <v>0942</v>
      </c>
      <c r="J45" s="128">
        <v>66361</v>
      </c>
      <c r="K45" s="128">
        <v>57420</v>
      </c>
      <c r="L45" s="128">
        <v>59520</v>
      </c>
      <c r="M45" s="95"/>
      <c r="O45" s="86" t="str">
        <f t="shared" si="5"/>
        <v>321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3213</v>
      </c>
      <c r="F46" s="91" t="str">
        <f t="shared" si="2"/>
        <v>Stručno usavršavanje zaposlenika</v>
      </c>
      <c r="G46" s="129" t="s">
        <v>194</v>
      </c>
      <c r="H46" s="91" t="str">
        <f t="shared" si="3"/>
        <v>REDOVNA DJELATNOST SVEUČILIŠTA SJEVER (IZ EVIDENCIJSKIH PRIHODA)</v>
      </c>
      <c r="I46" s="91" t="str">
        <f t="shared" si="4"/>
        <v>0942</v>
      </c>
      <c r="J46" s="128">
        <v>3982</v>
      </c>
      <c r="K46" s="128">
        <v>4000</v>
      </c>
      <c r="L46" s="128">
        <v>4500</v>
      </c>
      <c r="M46" s="95"/>
      <c r="O46" s="86" t="str">
        <f t="shared" si="5"/>
        <v>321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3214</v>
      </c>
      <c r="F47" s="91" t="str">
        <f t="shared" si="2"/>
        <v>Ostale naknade troškova zaposlenima</v>
      </c>
      <c r="G47" s="129" t="s">
        <v>194</v>
      </c>
      <c r="H47" s="91" t="str">
        <f t="shared" si="3"/>
        <v>REDOVNA DJELATNOST SVEUČILIŠTA SJEVER (IZ EVIDENCIJSKIH PRIHODA)</v>
      </c>
      <c r="I47" s="91" t="str">
        <f t="shared" si="4"/>
        <v>0942</v>
      </c>
      <c r="J47" s="128">
        <v>199</v>
      </c>
      <c r="K47" s="128">
        <v>200</v>
      </c>
      <c r="L47" s="128">
        <v>200</v>
      </c>
      <c r="M47" s="95"/>
      <c r="O47" s="86" t="str">
        <f t="shared" si="5"/>
        <v>321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3221</v>
      </c>
      <c r="F48" s="91" t="str">
        <f t="shared" si="2"/>
        <v>Uredski materijal i ostali materijalni rashodi</v>
      </c>
      <c r="G48" s="129" t="s">
        <v>194</v>
      </c>
      <c r="H48" s="91" t="str">
        <f t="shared" si="3"/>
        <v>REDOVNA DJELATNOST SVEUČILIŠTA SJEVER (IZ EVIDENCIJSKIH PRIHODA)</v>
      </c>
      <c r="I48" s="91" t="str">
        <f t="shared" si="4"/>
        <v>0942</v>
      </c>
      <c r="J48" s="128">
        <v>23226</v>
      </c>
      <c r="K48" s="128">
        <v>28000</v>
      </c>
      <c r="L48" s="128">
        <v>29000</v>
      </c>
      <c r="M48" s="95"/>
      <c r="O48" s="86" t="str">
        <f t="shared" si="5"/>
        <v>322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3223</v>
      </c>
      <c r="F49" s="91" t="str">
        <f t="shared" si="2"/>
        <v>Energija</v>
      </c>
      <c r="G49" s="129" t="s">
        <v>194</v>
      </c>
      <c r="H49" s="91" t="str">
        <f t="shared" si="3"/>
        <v>REDOVNA DJELATNOST SVEUČILIŠTA SJEVER (IZ EVIDENCIJSKIH PRIHODA)</v>
      </c>
      <c r="I49" s="91" t="str">
        <f t="shared" si="4"/>
        <v>0942</v>
      </c>
      <c r="J49" s="128">
        <v>222974</v>
      </c>
      <c r="K49" s="128">
        <v>130000</v>
      </c>
      <c r="L49" s="128">
        <v>130000</v>
      </c>
      <c r="M49" s="95"/>
      <c r="O49" s="86" t="str">
        <f t="shared" si="5"/>
        <v>322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3224</v>
      </c>
      <c r="F50" s="91" t="str">
        <f t="shared" si="2"/>
        <v>Materijal i dijelovi za tekuće i investicijsko održavanje</v>
      </c>
      <c r="G50" s="129" t="s">
        <v>194</v>
      </c>
      <c r="H50" s="91" t="str">
        <f t="shared" si="3"/>
        <v>REDOVNA DJELATNOST SVEUČILIŠTA SJEVER (IZ EVIDENCIJSKIH PRIHODA)</v>
      </c>
      <c r="I50" s="91" t="str">
        <f t="shared" si="4"/>
        <v>0942</v>
      </c>
      <c r="J50" s="128">
        <v>7963</v>
      </c>
      <c r="K50" s="128">
        <v>7963</v>
      </c>
      <c r="L50" s="128">
        <v>7963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3225</v>
      </c>
      <c r="F51" s="91" t="str">
        <f t="shared" si="2"/>
        <v>Sitni inventar i auto gume</v>
      </c>
      <c r="G51" s="129" t="s">
        <v>194</v>
      </c>
      <c r="H51" s="91" t="str">
        <f t="shared" si="3"/>
        <v>REDOVNA DJELATNOST SVEUČILIŠTA SJEVER (IZ EVIDENCIJSKIH PRIHODA)</v>
      </c>
      <c r="I51" s="91" t="str">
        <f t="shared" si="4"/>
        <v>0942</v>
      </c>
      <c r="J51" s="128">
        <v>11945</v>
      </c>
      <c r="K51" s="128">
        <v>11945</v>
      </c>
      <c r="L51" s="128">
        <v>11945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3227</v>
      </c>
      <c r="F52" s="91" t="str">
        <f t="shared" si="2"/>
        <v>Službena, radna i zaštitna odjeća i obuća</v>
      </c>
      <c r="G52" s="129" t="s">
        <v>194</v>
      </c>
      <c r="H52" s="91" t="str">
        <f t="shared" si="3"/>
        <v>REDOVNA DJELATNOST SVEUČILIŠTA SJEVER (IZ EVIDENCIJSKIH PRIHODA)</v>
      </c>
      <c r="I52" s="91" t="str">
        <f t="shared" si="4"/>
        <v>0942</v>
      </c>
      <c r="J52" s="128">
        <v>1991</v>
      </c>
      <c r="K52" s="128">
        <v>1991</v>
      </c>
      <c r="L52" s="128">
        <v>1991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3231</v>
      </c>
      <c r="F53" s="91" t="str">
        <f t="shared" si="2"/>
        <v>Usluge telefona, pošte i prijevoza</v>
      </c>
      <c r="G53" s="129" t="s">
        <v>194</v>
      </c>
      <c r="H53" s="91" t="str">
        <f t="shared" si="3"/>
        <v>REDOVNA DJELATNOST SVEUČILIŠTA SJEVER (IZ EVIDENCIJSKIH PRIHODA)</v>
      </c>
      <c r="I53" s="91" t="str">
        <f t="shared" si="4"/>
        <v>0942</v>
      </c>
      <c r="J53" s="128">
        <v>28270</v>
      </c>
      <c r="K53" s="128">
        <v>28270</v>
      </c>
      <c r="L53" s="128">
        <v>27270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3232</v>
      </c>
      <c r="F54" s="91" t="str">
        <f t="shared" si="2"/>
        <v>Usluge tekućeg i investicijskog održavanja</v>
      </c>
      <c r="G54" s="129" t="s">
        <v>194</v>
      </c>
      <c r="H54" s="91" t="str">
        <f t="shared" si="3"/>
        <v>REDOVNA DJELATNOST SVEUČILIŠTA SJEVER (IZ EVIDENCIJSKIH PRIHODA)</v>
      </c>
      <c r="I54" s="91" t="str">
        <f t="shared" si="4"/>
        <v>0942</v>
      </c>
      <c r="J54" s="128">
        <v>46453</v>
      </c>
      <c r="K54" s="128">
        <v>30000</v>
      </c>
      <c r="L54" s="128">
        <v>30000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3234</v>
      </c>
      <c r="F55" s="91" t="str">
        <f t="shared" si="2"/>
        <v>Komunalne usluge</v>
      </c>
      <c r="G55" s="129" t="s">
        <v>194</v>
      </c>
      <c r="H55" s="91" t="str">
        <f t="shared" si="3"/>
        <v>REDOVNA DJELATNOST SVEUČILIŠTA SJEVER (IZ EVIDENCIJSKIH PRIHODA)</v>
      </c>
      <c r="I55" s="91" t="str">
        <f t="shared" si="4"/>
        <v>0942</v>
      </c>
      <c r="J55" s="128">
        <v>23890</v>
      </c>
      <c r="K55" s="128">
        <v>23890</v>
      </c>
      <c r="L55" s="128">
        <v>23890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3235</v>
      </c>
      <c r="F56" s="91" t="str">
        <f t="shared" si="2"/>
        <v>Zakupnine i najamnine</v>
      </c>
      <c r="G56" s="129" t="s">
        <v>194</v>
      </c>
      <c r="H56" s="91" t="str">
        <f t="shared" si="3"/>
        <v>REDOVNA DJELATNOST SVEUČILIŠTA SJEVER (IZ EVIDENCIJSKIH PRIHODA)</v>
      </c>
      <c r="I56" s="91" t="str">
        <f t="shared" si="4"/>
        <v>0942</v>
      </c>
      <c r="J56" s="128">
        <v>36897</v>
      </c>
      <c r="K56" s="128">
        <v>38000</v>
      </c>
      <c r="L56" s="128">
        <v>36000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3236</v>
      </c>
      <c r="F57" s="91" t="str">
        <f t="shared" si="2"/>
        <v>Zdravstvene i veterinarske usluge</v>
      </c>
      <c r="G57" s="129" t="s">
        <v>194</v>
      </c>
      <c r="H57" s="91" t="str">
        <f t="shared" si="3"/>
        <v>REDOVNA DJELATNOST SVEUČILIŠTA SJEVER (IZ EVIDENCIJSKIH PRIHODA)</v>
      </c>
      <c r="I57" s="91" t="str">
        <f t="shared" si="4"/>
        <v>0942</v>
      </c>
      <c r="J57" s="128">
        <v>1991</v>
      </c>
      <c r="K57" s="128">
        <v>1991</v>
      </c>
      <c r="L57" s="128">
        <v>1991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3237</v>
      </c>
      <c r="F58" s="91" t="str">
        <f t="shared" si="2"/>
        <v>Intelektualne i osobne usluge</v>
      </c>
      <c r="G58" s="129" t="s">
        <v>194</v>
      </c>
      <c r="H58" s="91" t="str">
        <f t="shared" si="3"/>
        <v>REDOVNA DJELATNOST SVEUČILIŠTA SJEVER (IZ EVIDENCIJSKIH PRIHODA)</v>
      </c>
      <c r="I58" s="91" t="str">
        <f t="shared" si="4"/>
        <v>0942</v>
      </c>
      <c r="J58" s="128">
        <v>20307</v>
      </c>
      <c r="K58" s="128">
        <v>22000</v>
      </c>
      <c r="L58" s="128">
        <v>25000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3238</v>
      </c>
      <c r="F59" s="91" t="str">
        <f t="shared" si="2"/>
        <v>Računalne usluge</v>
      </c>
      <c r="G59" s="129" t="s">
        <v>194</v>
      </c>
      <c r="H59" s="91" t="str">
        <f t="shared" si="3"/>
        <v>REDOVNA DJELATNOST SVEUČILIŠTA SJEVER (IZ EVIDENCIJSKIH PRIHODA)</v>
      </c>
      <c r="I59" s="91" t="str">
        <f t="shared" si="4"/>
        <v>0942</v>
      </c>
      <c r="J59" s="128">
        <v>19908</v>
      </c>
      <c r="K59" s="128">
        <v>19908</v>
      </c>
      <c r="L59" s="128">
        <v>19908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3239</v>
      </c>
      <c r="F60" s="91" t="str">
        <f t="shared" si="2"/>
        <v>Ostale usluge</v>
      </c>
      <c r="G60" s="129" t="s">
        <v>194</v>
      </c>
      <c r="H60" s="91" t="str">
        <f t="shared" si="3"/>
        <v>REDOVNA DJELATNOST SVEUČILIŠTA SJEVER (IZ EVIDENCIJSKIH PRIHODA)</v>
      </c>
      <c r="I60" s="91" t="str">
        <f t="shared" si="4"/>
        <v>0942</v>
      </c>
      <c r="J60" s="128">
        <v>58663</v>
      </c>
      <c r="K60" s="128">
        <f>56000-4860</f>
        <v>51140</v>
      </c>
      <c r="L60" s="128">
        <v>55000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3292</v>
      </c>
      <c r="F61" s="91" t="str">
        <f t="shared" si="2"/>
        <v>Premije osiguranja</v>
      </c>
      <c r="G61" s="129" t="s">
        <v>194</v>
      </c>
      <c r="H61" s="91" t="str">
        <f t="shared" si="3"/>
        <v>REDOVNA DJELATNOST SVEUČILIŠTA SJEVER (IZ EVIDENCIJSKIH PRIHODA)</v>
      </c>
      <c r="I61" s="91" t="str">
        <f t="shared" si="4"/>
        <v>0942</v>
      </c>
      <c r="J61" s="128">
        <v>50270</v>
      </c>
      <c r="K61" s="128">
        <v>50000</v>
      </c>
      <c r="L61" s="128">
        <v>40000</v>
      </c>
      <c r="M61" s="95"/>
      <c r="O61" s="86" t="str">
        <f t="shared" si="5"/>
        <v>329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3293</v>
      </c>
      <c r="F62" s="91" t="str">
        <f t="shared" si="2"/>
        <v>Reprezentacija</v>
      </c>
      <c r="G62" s="129" t="s">
        <v>194</v>
      </c>
      <c r="H62" s="91" t="str">
        <f t="shared" si="3"/>
        <v>REDOVNA DJELATNOST SVEUČILIŠTA SJEVER (IZ EVIDENCIJSKIH PRIHODA)</v>
      </c>
      <c r="I62" s="91" t="str">
        <f t="shared" si="4"/>
        <v>0942</v>
      </c>
      <c r="J62" s="128">
        <v>71172</v>
      </c>
      <c r="K62" s="128">
        <v>65000</v>
      </c>
      <c r="L62" s="128">
        <v>40000</v>
      </c>
      <c r="M62" s="95"/>
      <c r="O62" s="86" t="str">
        <f t="shared" si="5"/>
        <v>329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3295</v>
      </c>
      <c r="F63" s="91" t="str">
        <f t="shared" si="2"/>
        <v>Pristojbe i naknade</v>
      </c>
      <c r="G63" s="129" t="s">
        <v>194</v>
      </c>
      <c r="H63" s="91" t="str">
        <f t="shared" si="3"/>
        <v>REDOVNA DJELATNOST SVEUČILIŠTA SJEVER (IZ EVIDENCIJSKIH PRIHODA)</v>
      </c>
      <c r="I63" s="91" t="str">
        <f t="shared" si="4"/>
        <v>0942</v>
      </c>
      <c r="J63" s="128">
        <v>9821</v>
      </c>
      <c r="K63" s="128">
        <v>9821</v>
      </c>
      <c r="L63" s="128">
        <v>9821</v>
      </c>
      <c r="M63" s="95"/>
      <c r="O63" s="86" t="str">
        <f t="shared" si="5"/>
        <v>329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3296</v>
      </c>
      <c r="F64" s="91" t="str">
        <f t="shared" si="2"/>
        <v>Troškovi sudskih postupaka</v>
      </c>
      <c r="G64" s="129" t="s">
        <v>194</v>
      </c>
      <c r="H64" s="91" t="str">
        <f t="shared" si="3"/>
        <v>REDOVNA DJELATNOST SVEUČILIŠTA SJEVER (IZ EVIDENCIJSKIH PRIHODA)</v>
      </c>
      <c r="I64" s="91" t="str">
        <f t="shared" si="4"/>
        <v>0942</v>
      </c>
      <c r="J64" s="128">
        <v>5309</v>
      </c>
      <c r="K64" s="128">
        <v>5309</v>
      </c>
      <c r="L64" s="128">
        <v>5309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3299</v>
      </c>
      <c r="F65" s="91" t="str">
        <f t="shared" si="2"/>
        <v>Ostali nespomenuti rashodi poslovanja</v>
      </c>
      <c r="G65" s="129" t="s">
        <v>194</v>
      </c>
      <c r="H65" s="91" t="str">
        <f t="shared" si="3"/>
        <v>REDOVNA DJELATNOST SVEUČILIŠTA SJEVER (IZ EVIDENCIJSKIH PRIHODA)</v>
      </c>
      <c r="I65" s="91" t="str">
        <f t="shared" si="4"/>
        <v>0942</v>
      </c>
      <c r="J65" s="128">
        <v>5309</v>
      </c>
      <c r="K65" s="128">
        <v>5309</v>
      </c>
      <c r="L65" s="128">
        <v>5309</v>
      </c>
      <c r="M65" s="95"/>
      <c r="O65" s="86" t="str">
        <f t="shared" si="5"/>
        <v>329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3431</v>
      </c>
      <c r="F66" s="91" t="str">
        <f t="shared" si="2"/>
        <v>Bankarske usluge i usluge platnog prometa</v>
      </c>
      <c r="G66" s="129" t="s">
        <v>194</v>
      </c>
      <c r="H66" s="91" t="str">
        <f t="shared" si="3"/>
        <v>REDOVNA DJELATNOST SVEUČILIŠTA SJEVER (IZ EVIDENCIJSKIH PRIHODA)</v>
      </c>
      <c r="I66" s="91" t="str">
        <f t="shared" si="4"/>
        <v>0942</v>
      </c>
      <c r="J66" s="128">
        <v>6636</v>
      </c>
      <c r="K66" s="128">
        <v>6500</v>
      </c>
      <c r="L66" s="128">
        <v>6500</v>
      </c>
      <c r="M66" s="95"/>
      <c r="O66" s="86" t="str">
        <f t="shared" si="5"/>
        <v>343</v>
      </c>
      <c r="P66" s="86" t="str">
        <f t="shared" si="6"/>
        <v>34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3433</v>
      </c>
      <c r="F67" s="91" t="str">
        <f t="shared" si="2"/>
        <v>Zatezne kamate</v>
      </c>
      <c r="G67" s="129" t="s">
        <v>194</v>
      </c>
      <c r="H67" s="91" t="str">
        <f t="shared" si="3"/>
        <v>REDOVNA DJELATNOST SVEUČILIŠTA SJEVER (IZ EVIDENCIJSKIH PRIHODA)</v>
      </c>
      <c r="I67" s="91" t="str">
        <f t="shared" si="4"/>
        <v>0942</v>
      </c>
      <c r="J67" s="128">
        <v>40</v>
      </c>
      <c r="K67" s="128">
        <v>40</v>
      </c>
      <c r="L67" s="128">
        <v>40</v>
      </c>
      <c r="M67" s="95"/>
      <c r="O67" s="86" t="str">
        <f t="shared" si="5"/>
        <v>343</v>
      </c>
      <c r="P67" s="86" t="str">
        <f t="shared" si="6"/>
        <v>34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3721</v>
      </c>
      <c r="F68" s="91" t="str">
        <f t="shared" ref="F68:F131" si="14">IFERROR(VLOOKUP(E68,$V$5:$X$129,2,FALSE),"")</f>
        <v>Naknade građanima i kućanstvima u novcu</v>
      </c>
      <c r="G68" s="129" t="s">
        <v>194</v>
      </c>
      <c r="H68" s="91" t="str">
        <f t="shared" ref="H68:H131" si="15">IFERROR(VLOOKUP(G68,$AB$6:$AC$327,2,FALSE),"")</f>
        <v>REDOVNA DJELATNOST SVEUČILIŠTA SJEVER (IZ EVIDENCIJSKIH PRIHODA)</v>
      </c>
      <c r="I68" s="91" t="str">
        <f t="shared" ref="I68:I131" si="16">IFERROR(VLOOKUP(G68,$AB$6:$AF$327,3,FALSE),"")</f>
        <v>0942</v>
      </c>
      <c r="J68" s="128">
        <v>39817</v>
      </c>
      <c r="K68" s="128">
        <v>40000</v>
      </c>
      <c r="L68" s="128">
        <v>40000</v>
      </c>
      <c r="M68" s="95"/>
      <c r="O68" s="86" t="str">
        <f t="shared" ref="O68:O131" si="17">LEFT(E68,3)</f>
        <v>372</v>
      </c>
      <c r="P68" s="86" t="str">
        <f t="shared" ref="P68:P131" si="18">LEFT(E68,2)</f>
        <v>37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4222</v>
      </c>
      <c r="F69" s="91" t="str">
        <f t="shared" si="14"/>
        <v>Komunikacijska oprema</v>
      </c>
      <c r="G69" s="129" t="s">
        <v>194</v>
      </c>
      <c r="H69" s="91" t="str">
        <f t="shared" si="15"/>
        <v>REDOVNA DJELATNOST SVEUČILIŠTA SJEVER (IZ EVIDENCIJSKIH PRIHODA)</v>
      </c>
      <c r="I69" s="91" t="str">
        <f t="shared" si="16"/>
        <v>0942</v>
      </c>
      <c r="J69" s="128">
        <v>664</v>
      </c>
      <c r="K69" s="128">
        <v>664</v>
      </c>
      <c r="L69" s="128">
        <v>664</v>
      </c>
      <c r="M69" s="95"/>
      <c r="O69" s="86" t="str">
        <f t="shared" si="17"/>
        <v>422</v>
      </c>
      <c r="P69" s="86" t="str">
        <f t="shared" si="18"/>
        <v>42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4124</v>
      </c>
      <c r="F70" s="91" t="str">
        <f t="shared" si="14"/>
        <v>Ostala prava</v>
      </c>
      <c r="G70" s="129" t="s">
        <v>194</v>
      </c>
      <c r="H70" s="91" t="str">
        <f t="shared" si="15"/>
        <v>REDOVNA DJELATNOST SVEUČILIŠTA SJEVER (IZ EVIDENCIJSKIH PRIHODA)</v>
      </c>
      <c r="I70" s="91" t="str">
        <f t="shared" si="16"/>
        <v>0942</v>
      </c>
      <c r="J70" s="128">
        <v>510983</v>
      </c>
      <c r="K70" s="128">
        <f>100000-86863</f>
        <v>13137</v>
      </c>
      <c r="L70" s="128">
        <v>0</v>
      </c>
      <c r="M70" s="95"/>
      <c r="O70" s="86" t="str">
        <f t="shared" si="17"/>
        <v>412</v>
      </c>
      <c r="P70" s="86" t="str">
        <f t="shared" si="18"/>
        <v>41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4212</v>
      </c>
      <c r="F71" s="91" t="str">
        <f t="shared" si="14"/>
        <v>Poslovni objekti</v>
      </c>
      <c r="G71" s="129" t="s">
        <v>194</v>
      </c>
      <c r="H71" s="91" t="str">
        <f t="shared" si="15"/>
        <v>REDOVNA DJELATNOST SVEUČILIŠTA SJEVER (IZ EVIDENCIJSKIH PRIHODA)</v>
      </c>
      <c r="I71" s="91" t="str">
        <f t="shared" si="16"/>
        <v>0942</v>
      </c>
      <c r="J71" s="128">
        <v>2961377</v>
      </c>
      <c r="K71" s="128">
        <v>30000</v>
      </c>
      <c r="L71" s="128">
        <f>21212+12935</f>
        <v>34147</v>
      </c>
      <c r="M71" s="95"/>
      <c r="O71" s="86" t="str">
        <f t="shared" si="17"/>
        <v>421</v>
      </c>
      <c r="P71" s="86" t="str">
        <f t="shared" si="18"/>
        <v>42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4221</v>
      </c>
      <c r="F72" s="91" t="str">
        <f t="shared" si="14"/>
        <v>Uredska oprema i namještaj</v>
      </c>
      <c r="G72" s="129" t="s">
        <v>194</v>
      </c>
      <c r="H72" s="91" t="str">
        <f t="shared" si="15"/>
        <v>REDOVNA DJELATNOST SVEUČILIŠTA SJEVER (IZ EVIDENCIJSKIH PRIHODA)</v>
      </c>
      <c r="I72" s="91" t="str">
        <f t="shared" si="16"/>
        <v>0942</v>
      </c>
      <c r="J72" s="128">
        <v>288672</v>
      </c>
      <c r="K72" s="128">
        <v>50000</v>
      </c>
      <c r="L72" s="128">
        <v>50000</v>
      </c>
      <c r="M72" s="95"/>
      <c r="O72" s="86" t="str">
        <f t="shared" si="17"/>
        <v>422</v>
      </c>
      <c r="P72" s="86" t="str">
        <f t="shared" si="18"/>
        <v>42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4227</v>
      </c>
      <c r="F73" s="91" t="str">
        <f t="shared" si="14"/>
        <v>Uređaji, strojevi i oprema za ostale namjene</v>
      </c>
      <c r="G73" s="129" t="s">
        <v>194</v>
      </c>
      <c r="H73" s="91" t="str">
        <f t="shared" si="15"/>
        <v>REDOVNA DJELATNOST SVEUČILIŠTA SJEVER (IZ EVIDENCIJSKIH PRIHODA)</v>
      </c>
      <c r="I73" s="91" t="str">
        <f t="shared" si="16"/>
        <v>0942</v>
      </c>
      <c r="J73" s="128">
        <v>688500</v>
      </c>
      <c r="K73" s="128">
        <v>165000</v>
      </c>
      <c r="L73" s="128">
        <v>100000</v>
      </c>
      <c r="M73" s="95"/>
      <c r="O73" s="86" t="str">
        <f t="shared" si="17"/>
        <v>422</v>
      </c>
      <c r="P73" s="86" t="str">
        <f t="shared" si="18"/>
        <v>42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52</v>
      </c>
      <c r="D74" s="91" t="str">
        <f t="shared" si="13"/>
        <v>Ostale pomoći</v>
      </c>
      <c r="E74" s="96">
        <v>3111</v>
      </c>
      <c r="F74" s="91" t="str">
        <f t="shared" si="14"/>
        <v>Plaće za redovan rad</v>
      </c>
      <c r="G74" s="129" t="s">
        <v>194</v>
      </c>
      <c r="H74" s="91" t="str">
        <f t="shared" si="15"/>
        <v>REDOVNA DJELATNOST SVEUČILIŠTA SJEVER (IZ EVIDENCIJSKIH PRIHODA)</v>
      </c>
      <c r="I74" s="91" t="str">
        <f t="shared" si="16"/>
        <v>0942</v>
      </c>
      <c r="J74" s="128">
        <v>16025</v>
      </c>
      <c r="K74" s="128">
        <v>16025</v>
      </c>
      <c r="L74" s="128">
        <v>16025</v>
      </c>
      <c r="M74" s="95"/>
      <c r="O74" s="86" t="str">
        <f t="shared" si="17"/>
        <v>311</v>
      </c>
      <c r="P74" s="86" t="str">
        <f t="shared" si="18"/>
        <v>31</v>
      </c>
      <c r="Q74" s="86" t="str">
        <f t="shared" si="19"/>
        <v>52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52</v>
      </c>
      <c r="D75" s="91" t="str">
        <f t="shared" si="13"/>
        <v>Ostale pomoći</v>
      </c>
      <c r="E75" s="96">
        <v>3132</v>
      </c>
      <c r="F75" s="91" t="str">
        <f t="shared" si="14"/>
        <v>Doprinosi za obvezno zdravstveno osiguranje</v>
      </c>
      <c r="G75" s="129" t="s">
        <v>194</v>
      </c>
      <c r="H75" s="91" t="str">
        <f t="shared" si="15"/>
        <v>REDOVNA DJELATNOST SVEUČILIŠTA SJEVER (IZ EVIDENCIJSKIH PRIHODA)</v>
      </c>
      <c r="I75" s="91" t="str">
        <f t="shared" si="16"/>
        <v>0942</v>
      </c>
      <c r="J75" s="128">
        <v>2557</v>
      </c>
      <c r="K75" s="128">
        <v>2557</v>
      </c>
      <c r="L75" s="128">
        <v>2557</v>
      </c>
      <c r="M75" s="95"/>
      <c r="O75" s="86" t="str">
        <f t="shared" si="17"/>
        <v>313</v>
      </c>
      <c r="P75" s="86" t="str">
        <f t="shared" si="18"/>
        <v>31</v>
      </c>
      <c r="Q75" s="86" t="str">
        <f t="shared" si="19"/>
        <v>52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52</v>
      </c>
      <c r="D76" s="91" t="str">
        <f t="shared" si="13"/>
        <v>Ostale pomoći</v>
      </c>
      <c r="E76" s="96">
        <v>3211</v>
      </c>
      <c r="F76" s="91" t="str">
        <f t="shared" si="14"/>
        <v>Službena putovanja</v>
      </c>
      <c r="G76" s="129" t="s">
        <v>194</v>
      </c>
      <c r="H76" s="91" t="str">
        <f t="shared" si="15"/>
        <v>REDOVNA DJELATNOST SVEUČILIŠTA SJEVER (IZ EVIDENCIJSKIH PRIHODA)</v>
      </c>
      <c r="I76" s="91" t="str">
        <f t="shared" si="16"/>
        <v>0942</v>
      </c>
      <c r="J76" s="128">
        <v>4048</v>
      </c>
      <c r="K76" s="128">
        <v>3449</v>
      </c>
      <c r="L76" s="128">
        <v>5359</v>
      </c>
      <c r="M76" s="95"/>
      <c r="O76" s="86" t="str">
        <f t="shared" si="17"/>
        <v>321</v>
      </c>
      <c r="P76" s="86" t="str">
        <f t="shared" si="18"/>
        <v>32</v>
      </c>
      <c r="Q76" s="86" t="str">
        <f t="shared" si="19"/>
        <v>52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52</v>
      </c>
      <c r="D77" s="91" t="str">
        <f t="shared" si="13"/>
        <v>Ostale pomoći</v>
      </c>
      <c r="E77" s="96">
        <v>3213</v>
      </c>
      <c r="F77" s="91" t="str">
        <f t="shared" si="14"/>
        <v>Stručno usavršavanje zaposlenika</v>
      </c>
      <c r="G77" s="129" t="s">
        <v>194</v>
      </c>
      <c r="H77" s="91" t="str">
        <f t="shared" si="15"/>
        <v>REDOVNA DJELATNOST SVEUČILIŠTA SJEVER (IZ EVIDENCIJSKIH PRIHODA)</v>
      </c>
      <c r="I77" s="91" t="str">
        <f t="shared" si="16"/>
        <v>0942</v>
      </c>
      <c r="J77" s="128">
        <v>1062</v>
      </c>
      <c r="K77" s="128">
        <v>6636</v>
      </c>
      <c r="L77" s="128">
        <v>2256</v>
      </c>
      <c r="M77" s="95"/>
      <c r="O77" s="86" t="str">
        <f t="shared" si="17"/>
        <v>321</v>
      </c>
      <c r="P77" s="86" t="str">
        <f t="shared" si="18"/>
        <v>32</v>
      </c>
      <c r="Q77" s="86" t="str">
        <f t="shared" si="19"/>
        <v>52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52</v>
      </c>
      <c r="D78" s="91" t="str">
        <f t="shared" si="13"/>
        <v>Ostale pomoći</v>
      </c>
      <c r="E78" s="96">
        <v>3221</v>
      </c>
      <c r="F78" s="91" t="str">
        <f t="shared" si="14"/>
        <v>Uredski materijal i ostali materijalni rashodi</v>
      </c>
      <c r="G78" s="129" t="s">
        <v>194</v>
      </c>
      <c r="H78" s="91" t="str">
        <f t="shared" si="15"/>
        <v>REDOVNA DJELATNOST SVEUČILIŠTA SJEVER (IZ EVIDENCIJSKIH PRIHODA)</v>
      </c>
      <c r="I78" s="91" t="str">
        <f t="shared" si="16"/>
        <v>0942</v>
      </c>
      <c r="J78" s="128">
        <v>7963</v>
      </c>
      <c r="K78" s="128">
        <v>7432</v>
      </c>
      <c r="L78" s="128">
        <v>7084</v>
      </c>
      <c r="M78" s="95"/>
      <c r="O78" s="86" t="str">
        <f t="shared" si="17"/>
        <v>322</v>
      </c>
      <c r="P78" s="86" t="str">
        <f t="shared" si="18"/>
        <v>32</v>
      </c>
      <c r="Q78" s="86" t="str">
        <f t="shared" si="19"/>
        <v>52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52</v>
      </c>
      <c r="D79" s="91" t="str">
        <f t="shared" si="13"/>
        <v>Ostale pomoći</v>
      </c>
      <c r="E79" s="96">
        <v>3721</v>
      </c>
      <c r="F79" s="91" t="str">
        <f t="shared" si="14"/>
        <v>Naknade građanima i kućanstvima u novcu</v>
      </c>
      <c r="G79" s="129" t="s">
        <v>194</v>
      </c>
      <c r="H79" s="91" t="str">
        <f t="shared" si="15"/>
        <v>REDOVNA DJELATNOST SVEUČILIŠTA SJEVER (IZ EVIDENCIJSKIH PRIHODA)</v>
      </c>
      <c r="I79" s="91" t="str">
        <f t="shared" si="16"/>
        <v>0942</v>
      </c>
      <c r="J79" s="128">
        <v>1327</v>
      </c>
      <c r="K79" s="128">
        <v>1327</v>
      </c>
      <c r="L79" s="128">
        <v>0</v>
      </c>
      <c r="M79" s="95"/>
      <c r="O79" s="86" t="str">
        <f t="shared" si="17"/>
        <v>372</v>
      </c>
      <c r="P79" s="86" t="str">
        <f t="shared" si="18"/>
        <v>37</v>
      </c>
      <c r="Q79" s="86" t="str">
        <f t="shared" si="19"/>
        <v>52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52</v>
      </c>
      <c r="D80" s="91" t="str">
        <f t="shared" si="13"/>
        <v>Ostale pomoći</v>
      </c>
      <c r="E80" s="96">
        <v>4227</v>
      </c>
      <c r="F80" s="91" t="str">
        <f t="shared" si="14"/>
        <v>Uređaji, strojevi i oprema za ostale namjene</v>
      </c>
      <c r="G80" s="129" t="s">
        <v>194</v>
      </c>
      <c r="H80" s="91" t="str">
        <f t="shared" si="15"/>
        <v>REDOVNA DJELATNOST SVEUČILIŠTA SJEVER (IZ EVIDENCIJSKIH PRIHODA)</v>
      </c>
      <c r="I80" s="91" t="str">
        <f t="shared" si="16"/>
        <v>0942</v>
      </c>
      <c r="J80" s="128">
        <v>20572</v>
      </c>
      <c r="K80" s="128">
        <v>5840</v>
      </c>
      <c r="L80" s="128">
        <v>0</v>
      </c>
      <c r="M80" s="95"/>
      <c r="O80" s="86" t="str">
        <f t="shared" si="17"/>
        <v>422</v>
      </c>
      <c r="P80" s="86" t="str">
        <f t="shared" si="18"/>
        <v>42</v>
      </c>
      <c r="Q80" s="86" t="str">
        <f t="shared" si="19"/>
        <v>52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52</v>
      </c>
      <c r="D81" s="91" t="str">
        <f t="shared" si="13"/>
        <v>Ostale pomoći</v>
      </c>
      <c r="E81" s="96">
        <v>3239</v>
      </c>
      <c r="F81" s="91" t="str">
        <f t="shared" si="14"/>
        <v>Ostale usluge</v>
      </c>
      <c r="G81" s="129" t="s">
        <v>194</v>
      </c>
      <c r="H81" s="91" t="str">
        <f t="shared" si="15"/>
        <v>REDOVNA DJELATNOST SVEUČILIŠTA SJEVER (IZ EVIDENCIJSKIH PRIHODA)</v>
      </c>
      <c r="I81" s="91" t="str">
        <f t="shared" si="16"/>
        <v>0942</v>
      </c>
      <c r="J81" s="128">
        <v>0</v>
      </c>
      <c r="K81" s="128">
        <f>133+664</f>
        <v>797</v>
      </c>
      <c r="L81" s="128">
        <v>1858</v>
      </c>
      <c r="M81" s="95"/>
      <c r="O81" s="86" t="str">
        <f t="shared" si="17"/>
        <v>323</v>
      </c>
      <c r="P81" s="86" t="str">
        <f t="shared" si="18"/>
        <v>32</v>
      </c>
      <c r="Q81" s="86" t="str">
        <f t="shared" si="19"/>
        <v>52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52</v>
      </c>
      <c r="D82" s="91" t="str">
        <f t="shared" si="13"/>
        <v>Ostale pomoći</v>
      </c>
      <c r="E82" s="96">
        <v>3233</v>
      </c>
      <c r="F82" s="91" t="str">
        <f t="shared" si="14"/>
        <v>Usluge promidžbe i informiranja</v>
      </c>
      <c r="G82" s="129" t="s">
        <v>194</v>
      </c>
      <c r="H82" s="91" t="str">
        <f t="shared" si="15"/>
        <v>REDOVNA DJELATNOST SVEUČILIŠTA SJEVER (IZ EVIDENCIJSKIH PRIHODA)</v>
      </c>
      <c r="I82" s="91" t="str">
        <f t="shared" si="16"/>
        <v>0942</v>
      </c>
      <c r="J82" s="128">
        <v>0</v>
      </c>
      <c r="K82" s="128">
        <v>1526</v>
      </c>
      <c r="L82" s="128">
        <v>265</v>
      </c>
      <c r="M82" s="95"/>
      <c r="O82" s="86" t="str">
        <f t="shared" si="17"/>
        <v>323</v>
      </c>
      <c r="P82" s="86" t="str">
        <f t="shared" si="18"/>
        <v>32</v>
      </c>
      <c r="Q82" s="86" t="str">
        <f t="shared" si="19"/>
        <v>52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52</v>
      </c>
      <c r="D83" s="91" t="str">
        <f t="shared" si="13"/>
        <v>Ostale pomoći</v>
      </c>
      <c r="E83" s="96">
        <v>3241</v>
      </c>
      <c r="F83" s="91" t="str">
        <f t="shared" si="14"/>
        <v>Naknade troškova osobama izvan radnog odnosa</v>
      </c>
      <c r="G83" s="129" t="s">
        <v>194</v>
      </c>
      <c r="H83" s="91" t="str">
        <f t="shared" si="15"/>
        <v>REDOVNA DJELATNOST SVEUČILIŠTA SJEVER (IZ EVIDENCIJSKIH PRIHODA)</v>
      </c>
      <c r="I83" s="91" t="str">
        <f t="shared" si="16"/>
        <v>0942</v>
      </c>
      <c r="J83" s="128">
        <v>0</v>
      </c>
      <c r="K83" s="128">
        <v>0</v>
      </c>
      <c r="L83" s="128">
        <v>398</v>
      </c>
      <c r="M83" s="95"/>
      <c r="O83" s="86" t="str">
        <f t="shared" si="17"/>
        <v>324</v>
      </c>
      <c r="P83" s="86" t="str">
        <f t="shared" si="18"/>
        <v>32</v>
      </c>
      <c r="Q83" s="86" t="str">
        <f t="shared" si="19"/>
        <v>52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52</v>
      </c>
      <c r="D84" s="91" t="str">
        <f t="shared" si="13"/>
        <v>Ostale pomoći</v>
      </c>
      <c r="E84" s="96">
        <v>3237</v>
      </c>
      <c r="F84" s="91" t="str">
        <f t="shared" si="14"/>
        <v>Intelektualne i osobne usluge</v>
      </c>
      <c r="G84" s="129" t="s">
        <v>194</v>
      </c>
      <c r="H84" s="91" t="str">
        <f t="shared" si="15"/>
        <v>REDOVNA DJELATNOST SVEUČILIŠTA SJEVER (IZ EVIDENCIJSKIH PRIHODA)</v>
      </c>
      <c r="I84" s="91" t="str">
        <f t="shared" si="16"/>
        <v>0942</v>
      </c>
      <c r="J84" s="128">
        <v>0</v>
      </c>
      <c r="K84" s="128">
        <v>6636</v>
      </c>
      <c r="L84" s="128">
        <v>7963</v>
      </c>
      <c r="M84" s="95"/>
      <c r="O84" s="86" t="str">
        <f t="shared" si="17"/>
        <v>323</v>
      </c>
      <c r="P84" s="86" t="str">
        <f t="shared" si="18"/>
        <v>32</v>
      </c>
      <c r="Q84" s="86" t="str">
        <f t="shared" si="19"/>
        <v>52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11</v>
      </c>
      <c r="D85" s="91" t="str">
        <f t="shared" si="13"/>
        <v>Opći prihodi i primici</v>
      </c>
      <c r="E85" s="96">
        <v>3237</v>
      </c>
      <c r="F85" s="91" t="str">
        <f t="shared" si="14"/>
        <v>Intelektualne i osobne usluge</v>
      </c>
      <c r="G85" s="129" t="s">
        <v>1917</v>
      </c>
      <c r="H85" s="91" t="str">
        <f t="shared" si="15"/>
        <v>POTPORA UMJETNIČKIM STUDIJIMA</v>
      </c>
      <c r="I85" s="91" t="str">
        <f t="shared" si="16"/>
        <v>0942</v>
      </c>
      <c r="J85" s="128">
        <v>25138</v>
      </c>
      <c r="K85" s="128">
        <v>25138</v>
      </c>
      <c r="L85" s="128">
        <v>25138</v>
      </c>
      <c r="M85" s="95"/>
      <c r="O85" s="86" t="str">
        <f t="shared" si="17"/>
        <v>323</v>
      </c>
      <c r="P85" s="86" t="str">
        <f t="shared" si="18"/>
        <v>32</v>
      </c>
      <c r="Q85" s="86" t="str">
        <f t="shared" si="19"/>
        <v>11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15147472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1077068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16224540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16224540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Normal="100" workbookViewId="0">
      <pane ySplit="2" topLeftCell="A9" activePane="bottomLeft" state="frozen"/>
      <selection pane="bottomLeft" activeCell="K28" sqref="K28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5" t="s">
        <v>664</v>
      </c>
      <c r="B1" s="365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61</v>
      </c>
      <c r="B3" s="91" t="str">
        <f t="shared" ref="B3" si="0">IFERROR(VLOOKUP(A3,$U$6:$V$23,2,FALSE),"")</f>
        <v>Donacije</v>
      </c>
      <c r="C3" s="96">
        <v>3237</v>
      </c>
      <c r="D3" s="91" t="str">
        <f>IFERROR(VLOOKUP(C3,$X$5:$Z$129,2,FALSE),"")</f>
        <v>Intelektualne i osobne usluge</v>
      </c>
      <c r="E3" s="129" t="s">
        <v>3383</v>
      </c>
      <c r="F3" s="91" t="str">
        <f>IFERROR(VLOOKUP(E3,$AD$6:$AE$1090,2,FALSE),"")</f>
        <v>Ulaganje u istraživanje i razvoj BBR Adria d.o.o.</v>
      </c>
      <c r="G3" s="91" t="str">
        <f>IFERROR(VLOOKUP(E3,$AD$6:$AG$1090,4,FALSE),"")</f>
        <v>0942</v>
      </c>
      <c r="H3" s="128">
        <v>361006</v>
      </c>
      <c r="I3" s="128">
        <v>0</v>
      </c>
      <c r="J3" s="128">
        <v>0</v>
      </c>
      <c r="K3" s="143"/>
      <c r="L3" s="142" t="s">
        <v>5281</v>
      </c>
      <c r="M3" s="142" t="s">
        <v>5282</v>
      </c>
      <c r="N3" s="143" t="s">
        <v>5283</v>
      </c>
      <c r="O3" s="351"/>
      <c r="P3" s="95"/>
      <c r="R3" s="86" t="str">
        <f>LEFT(C3,3)</f>
        <v>323</v>
      </c>
      <c r="S3" s="86" t="str">
        <f>LEFT(C3,2)</f>
        <v>32</v>
      </c>
      <c r="T3" s="86" t="str">
        <f>MID(G3,2,2)</f>
        <v>94</v>
      </c>
    </row>
    <row r="4" spans="1:33">
      <c r="A4" s="96">
        <v>43</v>
      </c>
      <c r="B4" s="91" t="str">
        <f t="shared" ref="B4:B67" si="1">IFERROR(VLOOKUP(A4,$U$6:$V$23,2,FALSE),"")</f>
        <v>Ostali prihodi za posebne namjene</v>
      </c>
      <c r="C4" s="96">
        <v>3237</v>
      </c>
      <c r="D4" s="91" t="str">
        <f t="shared" ref="D4:D67" si="2">IFERROR(VLOOKUP(C4,$X$5:$Z$129,2,FALSE),"")</f>
        <v>Intelektualne i osobne usluge</v>
      </c>
      <c r="E4" s="129" t="s">
        <v>3383</v>
      </c>
      <c r="F4" s="91" t="str">
        <f t="shared" ref="F4:F67" si="3">IFERROR(VLOOKUP(E4,$AD$6:$AE$1090,2,FALSE),"")</f>
        <v>Ulaganje u istraživanje i razvoj BBR Adria d.o.o.</v>
      </c>
      <c r="G4" s="91" t="str">
        <f t="shared" ref="G4:G67" si="4">IFERROR(VLOOKUP(E4,$AD$6:$AG$1090,4,FALSE),"")</f>
        <v>0942</v>
      </c>
      <c r="H4" s="128">
        <v>63707</v>
      </c>
      <c r="I4" s="128">
        <v>0</v>
      </c>
      <c r="J4" s="128">
        <v>0</v>
      </c>
      <c r="K4" s="143"/>
      <c r="L4" s="142" t="s">
        <v>5281</v>
      </c>
      <c r="M4" s="142" t="s">
        <v>5282</v>
      </c>
      <c r="N4" s="143" t="s">
        <v>5283</v>
      </c>
      <c r="O4" s="322"/>
      <c r="P4" s="95"/>
      <c r="R4" s="86" t="str">
        <f t="shared" ref="R4:R67" si="5">LEFT(C4,3)</f>
        <v>323</v>
      </c>
      <c r="S4" s="86" t="str">
        <f t="shared" ref="S4:S67" si="6">LEFT(C4,2)</f>
        <v>32</v>
      </c>
      <c r="T4" s="86" t="str">
        <f t="shared" ref="T4:T67" si="7">MID(G4,2,2)</f>
        <v>94</v>
      </c>
      <c r="X4" s="92"/>
      <c r="Y4" s="92"/>
    </row>
    <row r="5" spans="1:33">
      <c r="A5" s="96">
        <v>61</v>
      </c>
      <c r="B5" s="91" t="str">
        <f t="shared" si="1"/>
        <v>Donacije</v>
      </c>
      <c r="C5" s="96">
        <v>3111</v>
      </c>
      <c r="D5" s="91" t="str">
        <f t="shared" si="2"/>
        <v>Plaće za redovan rad</v>
      </c>
      <c r="E5" s="129" t="s">
        <v>3383</v>
      </c>
      <c r="F5" s="91" t="str">
        <f t="shared" si="3"/>
        <v>Ulaganje u istraživanje i razvoj BBR Adria d.o.o.</v>
      </c>
      <c r="G5" s="91" t="str">
        <f t="shared" si="4"/>
        <v>0942</v>
      </c>
      <c r="H5" s="128">
        <v>222726</v>
      </c>
      <c r="I5" s="128">
        <v>0</v>
      </c>
      <c r="J5" s="128">
        <v>0</v>
      </c>
      <c r="K5" s="143"/>
      <c r="L5" s="142" t="s">
        <v>5281</v>
      </c>
      <c r="M5" s="142" t="s">
        <v>5282</v>
      </c>
      <c r="N5" s="143" t="s">
        <v>5283</v>
      </c>
      <c r="O5" s="322"/>
      <c r="P5" s="95"/>
      <c r="R5" s="86" t="str">
        <f t="shared" si="5"/>
        <v>311</v>
      </c>
      <c r="S5" s="86" t="str">
        <f t="shared" si="6"/>
        <v>31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61</v>
      </c>
      <c r="B6" s="91" t="str">
        <f t="shared" si="1"/>
        <v>Donacije</v>
      </c>
      <c r="C6" s="96">
        <v>3132</v>
      </c>
      <c r="D6" s="91" t="str">
        <f t="shared" si="2"/>
        <v>Doprinosi za obvezno zdravstveno osiguranje</v>
      </c>
      <c r="E6" s="129" t="s">
        <v>3383</v>
      </c>
      <c r="F6" s="91" t="str">
        <f t="shared" si="3"/>
        <v>Ulaganje u istraživanje i razvoj BBR Adria d.o.o.</v>
      </c>
      <c r="G6" s="91" t="str">
        <f t="shared" si="4"/>
        <v>0942</v>
      </c>
      <c r="H6" s="128">
        <v>36667</v>
      </c>
      <c r="I6" s="128">
        <v>0</v>
      </c>
      <c r="J6" s="128">
        <v>0</v>
      </c>
      <c r="K6" s="143"/>
      <c r="L6" s="142" t="s">
        <v>5281</v>
      </c>
      <c r="M6" s="142" t="s">
        <v>5282</v>
      </c>
      <c r="N6" s="143" t="s">
        <v>5283</v>
      </c>
      <c r="O6" s="322"/>
      <c r="P6" s="95"/>
      <c r="R6" s="86" t="str">
        <f t="shared" si="5"/>
        <v>313</v>
      </c>
      <c r="S6" s="86" t="str">
        <f t="shared" si="6"/>
        <v>31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43</v>
      </c>
      <c r="B7" s="91" t="str">
        <f t="shared" si="1"/>
        <v>Ostali prihodi za posebne namjene</v>
      </c>
      <c r="C7" s="96">
        <v>3111</v>
      </c>
      <c r="D7" s="91" t="str">
        <f t="shared" si="2"/>
        <v>Plaće za redovan rad</v>
      </c>
      <c r="E7" s="129" t="s">
        <v>3383</v>
      </c>
      <c r="F7" s="91" t="str">
        <f t="shared" si="3"/>
        <v>Ulaganje u istraživanje i razvoj BBR Adria d.o.o.</v>
      </c>
      <c r="G7" s="91" t="str">
        <f t="shared" si="4"/>
        <v>0942</v>
      </c>
      <c r="H7" s="128">
        <v>39305</v>
      </c>
      <c r="I7" s="128">
        <v>0</v>
      </c>
      <c r="J7" s="128">
        <v>0</v>
      </c>
      <c r="K7" s="143"/>
      <c r="L7" s="142" t="s">
        <v>5281</v>
      </c>
      <c r="M7" s="142" t="s">
        <v>5282</v>
      </c>
      <c r="N7" s="143" t="s">
        <v>5283</v>
      </c>
      <c r="O7" s="322"/>
      <c r="P7" s="95"/>
      <c r="R7" s="86" t="str">
        <f t="shared" si="5"/>
        <v>311</v>
      </c>
      <c r="S7" s="86" t="str">
        <f t="shared" si="6"/>
        <v>31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43</v>
      </c>
      <c r="B8" s="91" t="str">
        <f t="shared" si="1"/>
        <v>Ostali prihodi za posebne namjene</v>
      </c>
      <c r="C8" s="96">
        <v>3132</v>
      </c>
      <c r="D8" s="91" t="str">
        <f t="shared" si="2"/>
        <v>Doprinosi za obvezno zdravstveno osiguranje</v>
      </c>
      <c r="E8" s="129" t="s">
        <v>3383</v>
      </c>
      <c r="F8" s="91" t="str">
        <f t="shared" si="3"/>
        <v>Ulaganje u istraživanje i razvoj BBR Adria d.o.o.</v>
      </c>
      <c r="G8" s="91" t="str">
        <f t="shared" si="4"/>
        <v>0942</v>
      </c>
      <c r="H8" s="128">
        <v>6484</v>
      </c>
      <c r="I8" s="128">
        <v>0</v>
      </c>
      <c r="J8" s="128">
        <v>0</v>
      </c>
      <c r="K8" s="143"/>
      <c r="L8" s="142" t="s">
        <v>5281</v>
      </c>
      <c r="M8" s="142" t="s">
        <v>5282</v>
      </c>
      <c r="N8" s="143" t="s">
        <v>5283</v>
      </c>
      <c r="O8" s="322"/>
      <c r="P8" s="95"/>
      <c r="R8" s="86" t="str">
        <f t="shared" si="5"/>
        <v>313</v>
      </c>
      <c r="S8" s="86" t="str">
        <f t="shared" si="6"/>
        <v>31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3111</v>
      </c>
      <c r="D10" s="91" t="str">
        <f t="shared" si="2"/>
        <v>Plaće za redovan rad</v>
      </c>
      <c r="E10" s="129" t="s">
        <v>3380</v>
      </c>
      <c r="F10" s="91" t="str">
        <f t="shared" si="3"/>
        <v>Uspostava RCK u strojarstvu SJEVER -TŠČ</v>
      </c>
      <c r="G10" s="91" t="str">
        <f t="shared" si="4"/>
        <v>0942</v>
      </c>
      <c r="H10" s="128">
        <v>4846</v>
      </c>
      <c r="I10" s="128">
        <v>0</v>
      </c>
      <c r="J10" s="128">
        <v>0</v>
      </c>
      <c r="K10" s="143"/>
      <c r="L10" s="142" t="s">
        <v>5284</v>
      </c>
      <c r="M10" s="142" t="s">
        <v>5285</v>
      </c>
      <c r="N10" s="143" t="s">
        <v>5286</v>
      </c>
      <c r="O10" s="322" t="s">
        <v>5287</v>
      </c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3132</v>
      </c>
      <c r="D11" s="91" t="str">
        <f t="shared" si="2"/>
        <v>Doprinosi za obvezno zdravstveno osiguranje</v>
      </c>
      <c r="E11" s="129" t="s">
        <v>3380</v>
      </c>
      <c r="F11" s="91" t="str">
        <f t="shared" si="3"/>
        <v>Uspostava RCK u strojarstvu SJEVER -TŠČ</v>
      </c>
      <c r="G11" s="91" t="str">
        <f t="shared" si="4"/>
        <v>0942</v>
      </c>
      <c r="H11" s="128">
        <v>799</v>
      </c>
      <c r="I11" s="128">
        <v>0</v>
      </c>
      <c r="J11" s="128">
        <v>0</v>
      </c>
      <c r="K11" s="143"/>
      <c r="L11" s="142" t="s">
        <v>5284</v>
      </c>
      <c r="M11" s="142" t="s">
        <v>5285</v>
      </c>
      <c r="N11" s="143" t="s">
        <v>5286</v>
      </c>
      <c r="O11" s="322"/>
      <c r="P11" s="95"/>
      <c r="R11" s="86" t="str">
        <f t="shared" si="5"/>
        <v>313</v>
      </c>
      <c r="S11" s="86" t="str">
        <f t="shared" si="6"/>
        <v>31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52</v>
      </c>
      <c r="B13" s="91" t="str">
        <f t="shared" si="1"/>
        <v>Ostale pomoći</v>
      </c>
      <c r="C13" s="96">
        <v>3211</v>
      </c>
      <c r="D13" s="91" t="str">
        <f t="shared" si="2"/>
        <v>Službena putovanja</v>
      </c>
      <c r="E13" s="129" t="s">
        <v>864</v>
      </c>
      <c r="F13" s="91" t="str">
        <f t="shared" si="3"/>
        <v>ERASMUS+  Poticanje mobilnosti studenata i znanstveno-nastavnog osoblja</v>
      </c>
      <c r="G13" s="91" t="str">
        <f t="shared" si="4"/>
        <v>0942</v>
      </c>
      <c r="H13" s="128">
        <v>11872</v>
      </c>
      <c r="I13" s="128">
        <v>0</v>
      </c>
      <c r="J13" s="128">
        <v>0</v>
      </c>
      <c r="K13" s="143"/>
      <c r="L13" s="142" t="s">
        <v>5288</v>
      </c>
      <c r="M13" s="142" t="s">
        <v>5289</v>
      </c>
      <c r="N13" s="143" t="s">
        <v>5290</v>
      </c>
      <c r="O13" s="322" t="s">
        <v>5291</v>
      </c>
      <c r="P13" s="95"/>
      <c r="R13" s="86" t="str">
        <f t="shared" si="5"/>
        <v>321</v>
      </c>
      <c r="S13" s="86" t="str">
        <f t="shared" si="6"/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52</v>
      </c>
      <c r="B14" s="91" t="str">
        <f t="shared" si="1"/>
        <v>Ostale pomoći</v>
      </c>
      <c r="C14" s="96">
        <v>3241</v>
      </c>
      <c r="D14" s="91" t="str">
        <f t="shared" si="2"/>
        <v>Naknade troškova osobama izvan radnog odnosa</v>
      </c>
      <c r="E14" s="129" t="s">
        <v>864</v>
      </c>
      <c r="F14" s="91" t="str">
        <f t="shared" si="3"/>
        <v>ERASMUS+  Poticanje mobilnosti studenata i znanstveno-nastavnog osoblja</v>
      </c>
      <c r="G14" s="91" t="str">
        <f t="shared" si="4"/>
        <v>0942</v>
      </c>
      <c r="H14" s="128">
        <v>59894</v>
      </c>
      <c r="I14" s="128">
        <v>0</v>
      </c>
      <c r="J14" s="128">
        <v>0</v>
      </c>
      <c r="K14" s="143"/>
      <c r="L14" s="142" t="s">
        <v>5288</v>
      </c>
      <c r="M14" s="142" t="s">
        <v>5289</v>
      </c>
      <c r="N14" s="143" t="s">
        <v>5290</v>
      </c>
      <c r="O14" s="322" t="s">
        <v>5291</v>
      </c>
      <c r="P14" s="95"/>
      <c r="R14" s="86" t="str">
        <f t="shared" si="5"/>
        <v>324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52</v>
      </c>
      <c r="B15" s="91" t="str">
        <f t="shared" si="1"/>
        <v>Ostale pomoći</v>
      </c>
      <c r="C15" s="96">
        <v>3237</v>
      </c>
      <c r="D15" s="91" t="str">
        <f t="shared" si="2"/>
        <v>Intelektualne i osobne usluge</v>
      </c>
      <c r="E15" s="129" t="s">
        <v>864</v>
      </c>
      <c r="F15" s="91" t="str">
        <f t="shared" si="3"/>
        <v>ERASMUS+  Poticanje mobilnosti studenata i znanstveno-nastavnog osoblja</v>
      </c>
      <c r="G15" s="91" t="str">
        <f t="shared" si="4"/>
        <v>0942</v>
      </c>
      <c r="H15" s="128">
        <v>17050</v>
      </c>
      <c r="I15" s="128">
        <v>0</v>
      </c>
      <c r="J15" s="128">
        <v>0</v>
      </c>
      <c r="K15" s="143"/>
      <c r="L15" s="142" t="s">
        <v>5288</v>
      </c>
      <c r="M15" s="142" t="s">
        <v>5289</v>
      </c>
      <c r="N15" s="143" t="s">
        <v>5290</v>
      </c>
      <c r="O15" s="322" t="s">
        <v>5291</v>
      </c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52</v>
      </c>
      <c r="B17" s="91" t="str">
        <f t="shared" si="1"/>
        <v>Ostale pomoći</v>
      </c>
      <c r="C17" s="96">
        <v>3211</v>
      </c>
      <c r="D17" s="91" t="str">
        <f t="shared" si="2"/>
        <v>Službena putovanja</v>
      </c>
      <c r="E17" s="129" t="s">
        <v>864</v>
      </c>
      <c r="F17" s="91" t="str">
        <f t="shared" si="3"/>
        <v>ERASMUS+  Poticanje mobilnosti studenata i znanstveno-nastavnog osoblja</v>
      </c>
      <c r="G17" s="91" t="str">
        <f t="shared" si="4"/>
        <v>0942</v>
      </c>
      <c r="H17" s="128">
        <v>2755</v>
      </c>
      <c r="I17" s="128">
        <v>0</v>
      </c>
      <c r="J17" s="128">
        <v>0</v>
      </c>
      <c r="K17" s="143"/>
      <c r="L17" s="142" t="s">
        <v>5288</v>
      </c>
      <c r="M17" s="142" t="s">
        <v>5292</v>
      </c>
      <c r="N17" s="143" t="s">
        <v>5290</v>
      </c>
      <c r="O17" s="322" t="s">
        <v>5293</v>
      </c>
      <c r="P17" s="95"/>
      <c r="R17" s="86" t="str">
        <f t="shared" si="5"/>
        <v>321</v>
      </c>
      <c r="S17" s="86" t="str">
        <f t="shared" si="6"/>
        <v>32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52</v>
      </c>
      <c r="B18" s="91" t="str">
        <f t="shared" si="1"/>
        <v>Ostale pomoći</v>
      </c>
      <c r="C18" s="96">
        <v>3241</v>
      </c>
      <c r="D18" s="91" t="str">
        <f t="shared" si="2"/>
        <v>Naknade troškova osobama izvan radnog odnosa</v>
      </c>
      <c r="E18" s="129" t="s">
        <v>864</v>
      </c>
      <c r="F18" s="91" t="str">
        <f t="shared" si="3"/>
        <v>ERASMUS+  Poticanje mobilnosti studenata i znanstveno-nastavnog osoblja</v>
      </c>
      <c r="G18" s="91" t="str">
        <f t="shared" si="4"/>
        <v>0942</v>
      </c>
      <c r="H18" s="128">
        <v>42615</v>
      </c>
      <c r="I18" s="128">
        <v>0</v>
      </c>
      <c r="J18" s="128">
        <v>0</v>
      </c>
      <c r="K18" s="143"/>
      <c r="L18" s="142" t="s">
        <v>5288</v>
      </c>
      <c r="M18" s="142" t="s">
        <v>5292</v>
      </c>
      <c r="N18" s="143" t="s">
        <v>5290</v>
      </c>
      <c r="O18" s="322" t="s">
        <v>5293</v>
      </c>
      <c r="P18" s="95"/>
      <c r="R18" s="86" t="str">
        <f t="shared" si="5"/>
        <v>324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52</v>
      </c>
      <c r="B19" s="91" t="str">
        <f t="shared" si="1"/>
        <v>Ostale pomoći</v>
      </c>
      <c r="C19" s="96">
        <v>3237</v>
      </c>
      <c r="D19" s="91" t="str">
        <f t="shared" si="2"/>
        <v>Intelektualne i osobne usluge</v>
      </c>
      <c r="E19" s="129" t="s">
        <v>864</v>
      </c>
      <c r="F19" s="91" t="str">
        <f t="shared" si="3"/>
        <v>ERASMUS+  Poticanje mobilnosti studenata i znanstveno-nastavnog osoblja</v>
      </c>
      <c r="G19" s="91" t="str">
        <f t="shared" si="4"/>
        <v>0942</v>
      </c>
      <c r="H19" s="128">
        <v>20800</v>
      </c>
      <c r="I19" s="128">
        <v>0</v>
      </c>
      <c r="J19" s="128">
        <v>0</v>
      </c>
      <c r="K19" s="143"/>
      <c r="L19" s="142" t="s">
        <v>5288</v>
      </c>
      <c r="M19" s="142" t="s">
        <v>5292</v>
      </c>
      <c r="N19" s="143" t="s">
        <v>5290</v>
      </c>
      <c r="O19" s="322" t="s">
        <v>5293</v>
      </c>
      <c r="P19" s="95"/>
      <c r="R19" s="86" t="str">
        <f t="shared" si="5"/>
        <v>323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52</v>
      </c>
      <c r="B21" s="91" t="str">
        <f t="shared" si="1"/>
        <v>Ostale pomoći</v>
      </c>
      <c r="C21" s="96">
        <v>3211</v>
      </c>
      <c r="D21" s="91" t="str">
        <f t="shared" si="2"/>
        <v>Službena putovanja</v>
      </c>
      <c r="E21" s="129" t="s">
        <v>864</v>
      </c>
      <c r="F21" s="91" t="str">
        <f t="shared" si="3"/>
        <v>ERASMUS+  Poticanje mobilnosti studenata i znanstveno-nastavnog osoblja</v>
      </c>
      <c r="G21" s="91" t="str">
        <f t="shared" si="4"/>
        <v>0942</v>
      </c>
      <c r="H21" s="128">
        <v>18858</v>
      </c>
      <c r="I21" s="128">
        <v>0</v>
      </c>
      <c r="J21" s="128">
        <v>0</v>
      </c>
      <c r="K21" s="143"/>
      <c r="L21" s="142" t="s">
        <v>5294</v>
      </c>
      <c r="M21" s="142" t="s">
        <v>5295</v>
      </c>
      <c r="N21" s="143" t="s">
        <v>5290</v>
      </c>
      <c r="O21" s="322" t="s">
        <v>5296</v>
      </c>
      <c r="P21" s="95"/>
      <c r="R21" s="86" t="str">
        <f t="shared" si="5"/>
        <v>321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52</v>
      </c>
      <c r="B22" s="91" t="str">
        <f t="shared" si="1"/>
        <v>Ostale pomoći</v>
      </c>
      <c r="C22" s="96">
        <v>3241</v>
      </c>
      <c r="D22" s="91" t="str">
        <f t="shared" si="2"/>
        <v>Naknade troškova osobama izvan radnog odnosa</v>
      </c>
      <c r="E22" s="129" t="s">
        <v>864</v>
      </c>
      <c r="F22" s="91" t="str">
        <f t="shared" si="3"/>
        <v>ERASMUS+  Poticanje mobilnosti studenata i znanstveno-nastavnog osoblja</v>
      </c>
      <c r="G22" s="91" t="str">
        <f t="shared" si="4"/>
        <v>0942</v>
      </c>
      <c r="H22" s="128">
        <v>57651</v>
      </c>
      <c r="I22" s="128">
        <v>0</v>
      </c>
      <c r="J22" s="128">
        <v>0</v>
      </c>
      <c r="K22" s="143"/>
      <c r="L22" s="142" t="s">
        <v>5294</v>
      </c>
      <c r="M22" s="142" t="s">
        <v>5295</v>
      </c>
      <c r="N22" s="143" t="s">
        <v>5290</v>
      </c>
      <c r="O22" s="322" t="s">
        <v>5296</v>
      </c>
      <c r="P22" s="95"/>
      <c r="R22" s="86" t="str">
        <f t="shared" si="5"/>
        <v>324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52</v>
      </c>
      <c r="B23" s="91" t="str">
        <f t="shared" si="1"/>
        <v>Ostale pomoći</v>
      </c>
      <c r="C23" s="96">
        <v>3237</v>
      </c>
      <c r="D23" s="91" t="str">
        <f t="shared" si="2"/>
        <v>Intelektualne i osobne usluge</v>
      </c>
      <c r="E23" s="129" t="s">
        <v>864</v>
      </c>
      <c r="F23" s="91" t="str">
        <f t="shared" si="3"/>
        <v>ERASMUS+  Poticanje mobilnosti studenata i znanstveno-nastavnog osoblja</v>
      </c>
      <c r="G23" s="91" t="str">
        <f t="shared" si="4"/>
        <v>0942</v>
      </c>
      <c r="H23" s="128">
        <v>10200</v>
      </c>
      <c r="I23" s="128">
        <v>0</v>
      </c>
      <c r="J23" s="128">
        <v>0</v>
      </c>
      <c r="K23" s="143"/>
      <c r="L23" s="142" t="s">
        <v>5294</v>
      </c>
      <c r="M23" s="142" t="s">
        <v>5295</v>
      </c>
      <c r="N23" s="143" t="s">
        <v>5290</v>
      </c>
      <c r="O23" s="322" t="s">
        <v>5296</v>
      </c>
      <c r="P23" s="95"/>
      <c r="R23" s="86" t="str">
        <f t="shared" si="5"/>
        <v>323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3211</v>
      </c>
      <c r="D25" s="91" t="str">
        <f t="shared" si="2"/>
        <v>Službena putovanja</v>
      </c>
      <c r="E25" s="129" t="s">
        <v>864</v>
      </c>
      <c r="F25" s="91" t="str">
        <f t="shared" si="3"/>
        <v>ERASMUS+  Poticanje mobilnosti studenata i znanstveno-nastavnog osoblja</v>
      </c>
      <c r="G25" s="91" t="str">
        <f t="shared" si="4"/>
        <v>0942</v>
      </c>
      <c r="H25" s="128">
        <v>8920</v>
      </c>
      <c r="I25" s="128">
        <v>6920</v>
      </c>
      <c r="J25" s="128">
        <v>8920</v>
      </c>
      <c r="K25" s="143"/>
      <c r="L25" s="142" t="s">
        <v>5297</v>
      </c>
      <c r="M25" s="142" t="s">
        <v>5298</v>
      </c>
      <c r="N25" s="143" t="s">
        <v>5290</v>
      </c>
      <c r="O25" s="322" t="s">
        <v>5299</v>
      </c>
      <c r="P25" s="95"/>
      <c r="R25" s="86" t="str">
        <f t="shared" si="5"/>
        <v>321</v>
      </c>
      <c r="S25" s="86" t="str">
        <f t="shared" si="6"/>
        <v>32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3241</v>
      </c>
      <c r="D26" s="91" t="str">
        <f t="shared" si="2"/>
        <v>Naknade troškova osobama izvan radnog odnosa</v>
      </c>
      <c r="E26" s="129" t="s">
        <v>864</v>
      </c>
      <c r="F26" s="91" t="str">
        <f t="shared" si="3"/>
        <v>ERASMUS+  Poticanje mobilnosti studenata i znanstveno-nastavnog osoblja</v>
      </c>
      <c r="G26" s="91" t="str">
        <f t="shared" si="4"/>
        <v>0942</v>
      </c>
      <c r="H26" s="128">
        <v>20479</v>
      </c>
      <c r="I26" s="128">
        <v>8479</v>
      </c>
      <c r="J26" s="128">
        <v>20479</v>
      </c>
      <c r="K26" s="143"/>
      <c r="L26" s="142" t="s">
        <v>5297</v>
      </c>
      <c r="M26" s="142" t="s">
        <v>5298</v>
      </c>
      <c r="N26" s="143" t="s">
        <v>5290</v>
      </c>
      <c r="O26" s="322" t="s">
        <v>5299</v>
      </c>
      <c r="P26" s="95"/>
      <c r="R26" s="86" t="str">
        <f t="shared" si="5"/>
        <v>324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3237</v>
      </c>
      <c r="D27" s="91" t="str">
        <f t="shared" si="2"/>
        <v>Intelektualne i osobne usluge</v>
      </c>
      <c r="E27" s="129" t="s">
        <v>864</v>
      </c>
      <c r="F27" s="91" t="str">
        <f t="shared" si="3"/>
        <v>ERASMUS+  Poticanje mobilnosti studenata i znanstveno-nastavnog osoblja</v>
      </c>
      <c r="G27" s="91" t="str">
        <f t="shared" si="4"/>
        <v>0942</v>
      </c>
      <c r="H27" s="128">
        <v>7666</v>
      </c>
      <c r="I27" s="128">
        <v>5666</v>
      </c>
      <c r="J27" s="128">
        <v>7666</v>
      </c>
      <c r="K27" s="143"/>
      <c r="L27" s="142" t="s">
        <v>5297</v>
      </c>
      <c r="M27" s="142" t="s">
        <v>5298</v>
      </c>
      <c r="N27" s="143" t="s">
        <v>5290</v>
      </c>
      <c r="O27" s="322" t="s">
        <v>5299</v>
      </c>
      <c r="P27" s="95"/>
      <c r="R27" s="86" t="str">
        <f t="shared" si="5"/>
        <v>323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3211</v>
      </c>
      <c r="D29" s="91" t="str">
        <f t="shared" si="2"/>
        <v>Službena putovanja</v>
      </c>
      <c r="E29" s="129" t="s">
        <v>864</v>
      </c>
      <c r="F29" s="91" t="str">
        <f t="shared" si="3"/>
        <v>ERASMUS+  Poticanje mobilnosti studenata i znanstveno-nastavnog osoblja</v>
      </c>
      <c r="G29" s="91" t="str">
        <f t="shared" si="4"/>
        <v>0942</v>
      </c>
      <c r="H29" s="128">
        <v>13009</v>
      </c>
      <c r="I29" s="128">
        <v>5000</v>
      </c>
      <c r="J29" s="128">
        <v>0</v>
      </c>
      <c r="K29" s="143"/>
      <c r="L29" s="142" t="s">
        <v>5300</v>
      </c>
      <c r="M29" s="142" t="s">
        <v>5301</v>
      </c>
      <c r="N29" s="143" t="s">
        <v>5290</v>
      </c>
      <c r="O29" s="322" t="s">
        <v>5302</v>
      </c>
      <c r="P29" s="95"/>
      <c r="R29" s="86" t="str">
        <f t="shared" si="5"/>
        <v>321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1"/>
        <v>Ostale pomoći</v>
      </c>
      <c r="C30" s="96">
        <v>3241</v>
      </c>
      <c r="D30" s="91" t="str">
        <f t="shared" si="2"/>
        <v>Naknade troškova osobama izvan radnog odnosa</v>
      </c>
      <c r="E30" s="129" t="s">
        <v>864</v>
      </c>
      <c r="F30" s="91" t="str">
        <f t="shared" si="3"/>
        <v>ERASMUS+  Poticanje mobilnosti studenata i znanstveno-nastavnog osoblja</v>
      </c>
      <c r="G30" s="91" t="str">
        <f t="shared" si="4"/>
        <v>0942</v>
      </c>
      <c r="H30" s="128">
        <v>23956</v>
      </c>
      <c r="I30" s="128">
        <f>7000-1955</f>
        <v>5045</v>
      </c>
      <c r="J30" s="128">
        <v>0</v>
      </c>
      <c r="K30" s="143"/>
      <c r="L30" s="142" t="s">
        <v>5300</v>
      </c>
      <c r="M30" s="142" t="s">
        <v>5301</v>
      </c>
      <c r="N30" s="143" t="s">
        <v>5290</v>
      </c>
      <c r="O30" s="322" t="s">
        <v>5302</v>
      </c>
      <c r="P30" s="95"/>
      <c r="R30" s="86" t="str">
        <f t="shared" si="5"/>
        <v>324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1"/>
        <v>Ostale pomoći</v>
      </c>
      <c r="C31" s="96">
        <v>3237</v>
      </c>
      <c r="D31" s="91" t="str">
        <f t="shared" si="2"/>
        <v>Intelektualne i osobne usluge</v>
      </c>
      <c r="E31" s="129" t="s">
        <v>864</v>
      </c>
      <c r="F31" s="91" t="str">
        <f t="shared" si="3"/>
        <v>ERASMUS+  Poticanje mobilnosti studenata i znanstveno-nastavnog osoblja</v>
      </c>
      <c r="G31" s="91" t="str">
        <f t="shared" si="4"/>
        <v>0942</v>
      </c>
      <c r="H31" s="128">
        <v>9400</v>
      </c>
      <c r="I31" s="128">
        <v>9400</v>
      </c>
      <c r="J31" s="128">
        <v>0</v>
      </c>
      <c r="K31" s="143"/>
      <c r="L31" s="142" t="s">
        <v>5300</v>
      </c>
      <c r="M31" s="142" t="s">
        <v>5301</v>
      </c>
      <c r="N31" s="143" t="s">
        <v>5290</v>
      </c>
      <c r="O31" s="322" t="s">
        <v>5302</v>
      </c>
      <c r="P31" s="95"/>
      <c r="R31" s="86" t="str">
        <f t="shared" si="5"/>
        <v>323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61</v>
      </c>
      <c r="B33" s="91" t="str">
        <f t="shared" si="1"/>
        <v>Donacije</v>
      </c>
      <c r="C33" s="96">
        <v>3111</v>
      </c>
      <c r="D33" s="91" t="str">
        <f t="shared" si="2"/>
        <v>Plaće za redovan rad</v>
      </c>
      <c r="E33" s="129" t="s">
        <v>3382</v>
      </c>
      <c r="F33" s="91" t="str">
        <f t="shared" si="3"/>
        <v>Digitalna.hr</v>
      </c>
      <c r="G33" s="91" t="str">
        <f t="shared" si="4"/>
        <v>0942</v>
      </c>
      <c r="H33" s="128">
        <v>3193</v>
      </c>
      <c r="I33" s="128">
        <v>0</v>
      </c>
      <c r="J33" s="128">
        <v>0</v>
      </c>
      <c r="K33" s="143"/>
      <c r="L33" s="142" t="s">
        <v>5304</v>
      </c>
      <c r="M33" s="142" t="s">
        <v>5295</v>
      </c>
      <c r="N33" s="143" t="s">
        <v>5303</v>
      </c>
      <c r="O33" s="322"/>
      <c r="P33" s="95"/>
      <c r="R33" s="86" t="str">
        <f t="shared" si="5"/>
        <v>311</v>
      </c>
      <c r="S33" s="86" t="str">
        <f t="shared" si="6"/>
        <v>31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61</v>
      </c>
      <c r="B34" s="91" t="str">
        <f t="shared" si="1"/>
        <v>Donacije</v>
      </c>
      <c r="C34" s="96">
        <v>3132</v>
      </c>
      <c r="D34" s="91" t="str">
        <f t="shared" si="2"/>
        <v>Doprinosi za obvezno zdravstveno osiguranje</v>
      </c>
      <c r="E34" s="129" t="s">
        <v>3382</v>
      </c>
      <c r="F34" s="91" t="str">
        <f t="shared" si="3"/>
        <v>Digitalna.hr</v>
      </c>
      <c r="G34" s="91" t="str">
        <f t="shared" si="4"/>
        <v>0942</v>
      </c>
      <c r="H34" s="128">
        <v>509</v>
      </c>
      <c r="I34" s="128">
        <v>0</v>
      </c>
      <c r="J34" s="128">
        <v>0</v>
      </c>
      <c r="K34" s="143"/>
      <c r="L34" s="142" t="s">
        <v>5304</v>
      </c>
      <c r="M34" s="142" t="s">
        <v>5295</v>
      </c>
      <c r="N34" s="143" t="s">
        <v>5303</v>
      </c>
      <c r="O34" s="322"/>
      <c r="P34" s="95"/>
      <c r="R34" s="86" t="str">
        <f t="shared" si="5"/>
        <v>313</v>
      </c>
      <c r="S34" s="86" t="str">
        <f t="shared" si="6"/>
        <v>31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52</v>
      </c>
      <c r="B36" s="91" t="str">
        <f t="shared" si="1"/>
        <v>Ostale pomoći</v>
      </c>
      <c r="C36" s="96">
        <v>3111</v>
      </c>
      <c r="D36" s="91" t="str">
        <f t="shared" si="2"/>
        <v>Plaće za redovan rad</v>
      </c>
      <c r="E36" s="129" t="s">
        <v>699</v>
      </c>
      <c r="F36" s="91" t="str">
        <f t="shared" si="3"/>
        <v>NOVI PODPROJEKT</v>
      </c>
      <c r="G36" s="91" t="str">
        <f t="shared" si="4"/>
        <v>NOVI PODPROJEKT</v>
      </c>
      <c r="H36" s="128">
        <v>2319</v>
      </c>
      <c r="I36" s="128">
        <v>0</v>
      </c>
      <c r="J36" s="128">
        <v>0</v>
      </c>
      <c r="K36" s="143"/>
      <c r="L36" s="142" t="s">
        <v>5305</v>
      </c>
      <c r="M36" s="142" t="s">
        <v>5306</v>
      </c>
      <c r="N36" s="143" t="s">
        <v>5307</v>
      </c>
      <c r="O36" s="322"/>
      <c r="P36" s="95"/>
      <c r="R36" s="86" t="str">
        <f t="shared" si="5"/>
        <v>311</v>
      </c>
      <c r="S36" s="86" t="str">
        <f t="shared" si="6"/>
        <v>31</v>
      </c>
      <c r="T36" s="86" t="str">
        <f t="shared" si="7"/>
        <v>OV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52</v>
      </c>
      <c r="B37" s="91" t="str">
        <f t="shared" si="1"/>
        <v>Ostale pomoći</v>
      </c>
      <c r="C37" s="96">
        <v>3132</v>
      </c>
      <c r="D37" s="91" t="str">
        <f t="shared" si="2"/>
        <v>Doprinosi za obvezno zdravstveno osiguranje</v>
      </c>
      <c r="E37" s="129" t="s">
        <v>699</v>
      </c>
      <c r="F37" s="91" t="str">
        <f t="shared" si="3"/>
        <v>NOVI PODPROJEKT</v>
      </c>
      <c r="G37" s="91" t="str">
        <f t="shared" si="4"/>
        <v>NOVI PODPROJEKT</v>
      </c>
      <c r="H37" s="128">
        <v>382</v>
      </c>
      <c r="I37" s="128">
        <v>0</v>
      </c>
      <c r="J37" s="128">
        <v>0</v>
      </c>
      <c r="K37" s="143"/>
      <c r="L37" s="142" t="s">
        <v>5305</v>
      </c>
      <c r="M37" s="142" t="s">
        <v>5306</v>
      </c>
      <c r="N37" s="143" t="s">
        <v>5307</v>
      </c>
      <c r="O37" s="322"/>
      <c r="P37" s="95"/>
      <c r="R37" s="86" t="str">
        <f t="shared" si="5"/>
        <v>313</v>
      </c>
      <c r="S37" s="86" t="str">
        <f t="shared" si="6"/>
        <v>31</v>
      </c>
      <c r="T37" s="86" t="str">
        <f t="shared" si="7"/>
        <v>OV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51</v>
      </c>
      <c r="B39" s="91" t="str">
        <f t="shared" si="1"/>
        <v>Pomoći EU</v>
      </c>
      <c r="C39" s="96">
        <v>3211</v>
      </c>
      <c r="D39" s="91" t="str">
        <f t="shared" si="2"/>
        <v>Službena putovanja</v>
      </c>
      <c r="E39" s="129" t="s">
        <v>699</v>
      </c>
      <c r="F39" s="91" t="str">
        <f t="shared" si="3"/>
        <v>NOVI PODPROJEKT</v>
      </c>
      <c r="G39" s="91" t="str">
        <f t="shared" si="4"/>
        <v>NOVI PODPROJEKT</v>
      </c>
      <c r="H39" s="128">
        <v>5000</v>
      </c>
      <c r="I39" s="128">
        <v>4500</v>
      </c>
      <c r="J39" s="128">
        <v>500</v>
      </c>
      <c r="K39" s="143"/>
      <c r="L39" s="142" t="s">
        <v>5310</v>
      </c>
      <c r="M39" s="142" t="s">
        <v>5311</v>
      </c>
      <c r="N39" s="143" t="s">
        <v>5312</v>
      </c>
      <c r="O39" s="322" t="s">
        <v>5313</v>
      </c>
      <c r="P39" s="95"/>
      <c r="R39" s="86" t="str">
        <f t="shared" si="5"/>
        <v>321</v>
      </c>
      <c r="S39" s="86" t="str">
        <f t="shared" si="6"/>
        <v>32</v>
      </c>
      <c r="T39" s="86" t="str">
        <f t="shared" si="7"/>
        <v>OV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51</v>
      </c>
      <c r="B40" s="91" t="str">
        <f t="shared" si="1"/>
        <v>Pomoći EU</v>
      </c>
      <c r="C40" s="96">
        <v>3213</v>
      </c>
      <c r="D40" s="91" t="str">
        <f t="shared" si="2"/>
        <v>Stručno usavršavanje zaposlenika</v>
      </c>
      <c r="E40" s="129" t="s">
        <v>699</v>
      </c>
      <c r="F40" s="91" t="str">
        <f t="shared" si="3"/>
        <v>NOVI PODPROJEKT</v>
      </c>
      <c r="G40" s="91" t="str">
        <f t="shared" si="4"/>
        <v>NOVI PODPROJEKT</v>
      </c>
      <c r="H40" s="128">
        <v>4000</v>
      </c>
      <c r="I40" s="128">
        <v>3500</v>
      </c>
      <c r="J40" s="128">
        <v>500</v>
      </c>
      <c r="K40" s="143"/>
      <c r="L40" s="142" t="s">
        <v>5310</v>
      </c>
      <c r="M40" s="142" t="s">
        <v>5311</v>
      </c>
      <c r="N40" s="143" t="s">
        <v>5312</v>
      </c>
      <c r="O40" s="322"/>
      <c r="P40" s="95"/>
      <c r="R40" s="86" t="str">
        <f t="shared" si="5"/>
        <v>321</v>
      </c>
      <c r="S40" s="86" t="str">
        <f t="shared" si="6"/>
        <v>32</v>
      </c>
      <c r="T40" s="86" t="str">
        <f t="shared" si="7"/>
        <v>OV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51</v>
      </c>
      <c r="B41" s="91" t="str">
        <f t="shared" si="1"/>
        <v>Pomoći EU</v>
      </c>
      <c r="C41" s="96">
        <v>3237</v>
      </c>
      <c r="D41" s="91" t="str">
        <f t="shared" si="2"/>
        <v>Intelektualne i osobne usluge</v>
      </c>
      <c r="E41" s="129" t="s">
        <v>699</v>
      </c>
      <c r="F41" s="91" t="str">
        <f t="shared" si="3"/>
        <v>NOVI PODPROJEKT</v>
      </c>
      <c r="G41" s="91" t="str">
        <f t="shared" si="4"/>
        <v>NOVI PODPROJEKT</v>
      </c>
      <c r="H41" s="128">
        <v>500</v>
      </c>
      <c r="I41" s="128">
        <v>1500</v>
      </c>
      <c r="J41" s="128">
        <v>0</v>
      </c>
      <c r="K41" s="143"/>
      <c r="L41" s="142" t="s">
        <v>5310</v>
      </c>
      <c r="M41" s="142" t="s">
        <v>5311</v>
      </c>
      <c r="N41" s="143" t="s">
        <v>5312</v>
      </c>
      <c r="O41" s="322"/>
      <c r="P41" s="95"/>
      <c r="R41" s="86" t="str">
        <f t="shared" si="5"/>
        <v>323</v>
      </c>
      <c r="S41" s="86" t="str">
        <f t="shared" si="6"/>
        <v>32</v>
      </c>
      <c r="T41" s="86" t="str">
        <f t="shared" si="7"/>
        <v>OV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51</v>
      </c>
      <c r="B42" s="91" t="str">
        <f t="shared" si="1"/>
        <v>Pomoći EU</v>
      </c>
      <c r="C42" s="96">
        <v>3293</v>
      </c>
      <c r="D42" s="91" t="str">
        <f t="shared" si="2"/>
        <v>Reprezentacija</v>
      </c>
      <c r="E42" s="129" t="s">
        <v>699</v>
      </c>
      <c r="F42" s="91" t="str">
        <f t="shared" si="3"/>
        <v>NOVI PODPROJEKT</v>
      </c>
      <c r="G42" s="91" t="str">
        <f t="shared" si="4"/>
        <v>NOVI PODPROJEKT</v>
      </c>
      <c r="H42" s="128">
        <v>500</v>
      </c>
      <c r="I42" s="128">
        <v>1500</v>
      </c>
      <c r="J42" s="128">
        <v>0</v>
      </c>
      <c r="K42" s="143"/>
      <c r="L42" s="142" t="s">
        <v>5310</v>
      </c>
      <c r="M42" s="142" t="s">
        <v>5311</v>
      </c>
      <c r="N42" s="143" t="s">
        <v>5312</v>
      </c>
      <c r="O42" s="322"/>
      <c r="P42" s="95"/>
      <c r="R42" s="86" t="str">
        <f t="shared" si="5"/>
        <v>329</v>
      </c>
      <c r="S42" s="86" t="str">
        <f t="shared" si="6"/>
        <v>32</v>
      </c>
      <c r="T42" s="86" t="str">
        <f t="shared" si="7"/>
        <v>OV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51</v>
      </c>
      <c r="B43" s="91" t="str">
        <f t="shared" si="1"/>
        <v>Pomoći EU</v>
      </c>
      <c r="C43" s="96">
        <v>3239</v>
      </c>
      <c r="D43" s="91" t="str">
        <f t="shared" si="2"/>
        <v>Ostale usluge</v>
      </c>
      <c r="E43" s="129" t="s">
        <v>699</v>
      </c>
      <c r="F43" s="91" t="str">
        <f t="shared" si="3"/>
        <v>NOVI PODPROJEKT</v>
      </c>
      <c r="G43" s="91" t="str">
        <f t="shared" si="4"/>
        <v>NOVI PODPROJEKT</v>
      </c>
      <c r="H43" s="128">
        <v>0</v>
      </c>
      <c r="I43" s="128">
        <v>2000</v>
      </c>
      <c r="J43" s="128">
        <v>0</v>
      </c>
      <c r="K43" s="143"/>
      <c r="L43" s="142" t="s">
        <v>5310</v>
      </c>
      <c r="M43" s="142" t="s">
        <v>5311</v>
      </c>
      <c r="N43" s="143" t="s">
        <v>5312</v>
      </c>
      <c r="O43" s="322"/>
      <c r="P43" s="95"/>
      <c r="R43" s="86" t="str">
        <f t="shared" si="5"/>
        <v>323</v>
      </c>
      <c r="S43" s="86" t="str">
        <f t="shared" si="6"/>
        <v>32</v>
      </c>
      <c r="T43" s="86" t="str">
        <f t="shared" si="7"/>
        <v>OV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51</v>
      </c>
      <c r="B44" s="91" t="str">
        <f t="shared" si="1"/>
        <v>Pomoći EU</v>
      </c>
      <c r="C44" s="96">
        <v>3233</v>
      </c>
      <c r="D44" s="91" t="str">
        <f t="shared" si="2"/>
        <v>Usluge promidžbe i informiranja</v>
      </c>
      <c r="E44" s="129" t="s">
        <v>699</v>
      </c>
      <c r="F44" s="91" t="str">
        <f t="shared" si="3"/>
        <v>NOVI PODPROJEKT</v>
      </c>
      <c r="G44" s="91" t="str">
        <f t="shared" si="4"/>
        <v>NOVI PODPROJEKT</v>
      </c>
      <c r="H44" s="128">
        <v>0</v>
      </c>
      <c r="I44" s="128">
        <v>2620</v>
      </c>
      <c r="J44" s="128">
        <v>0</v>
      </c>
      <c r="K44" s="143"/>
      <c r="L44" s="142" t="s">
        <v>5310</v>
      </c>
      <c r="M44" s="142" t="s">
        <v>5311</v>
      </c>
      <c r="N44" s="143" t="s">
        <v>5312</v>
      </c>
      <c r="O44" s="322"/>
      <c r="P44" s="95"/>
      <c r="R44" s="86" t="str">
        <f t="shared" si="5"/>
        <v>323</v>
      </c>
      <c r="S44" s="86" t="str">
        <f t="shared" si="6"/>
        <v>32</v>
      </c>
      <c r="T44" s="86" t="str">
        <f t="shared" si="7"/>
        <v>OV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8" scale="6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topLeftCell="B1" zoomScale="80" zoomScaleNormal="80" zoomScaleSheetLayoutView="70" workbookViewId="0">
      <selection activeCell="I5" sqref="I5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9" ht="21" customHeight="1">
      <c r="B2" s="366" t="s">
        <v>5265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4742197</v>
      </c>
      <c r="E5" s="3"/>
      <c r="F5" s="3"/>
      <c r="G5" s="3"/>
      <c r="H5" s="3"/>
      <c r="I5" s="3">
        <v>4500548</v>
      </c>
      <c r="J5" s="3"/>
      <c r="K5" s="3">
        <v>241649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11627093</v>
      </c>
      <c r="E6" s="12">
        <f>+'A.1 PRIHODI'!E8</f>
        <v>7978399</v>
      </c>
      <c r="F6" s="12">
        <f>+'A.1 PRIHODI'!F8</f>
        <v>0</v>
      </c>
      <c r="G6" s="12">
        <f>+'A.1 PRIHODI'!G8</f>
        <v>273078</v>
      </c>
      <c r="H6" s="12">
        <f>+'A.1 PRIHODI'!H8</f>
        <v>0</v>
      </c>
      <c r="I6" s="12">
        <f>+'A.1 PRIHODI'!I8+'B. RAČUN FIN'!I6</f>
        <v>2528370</v>
      </c>
      <c r="J6" s="12">
        <f>+'A.1 PRIHODI'!J8</f>
        <v>10000</v>
      </c>
      <c r="K6" s="12">
        <f>+'A.1 PRIHODI'!K8</f>
        <v>145376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689216</v>
      </c>
      <c r="U6" s="12">
        <f>+'A.1 PRIHODI'!U8</f>
        <v>0</v>
      </c>
      <c r="V6" s="12">
        <f>+'A.1 PRIHODI'!V8</f>
        <v>2654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-144750</v>
      </c>
      <c r="E7" s="197"/>
      <c r="F7" s="197"/>
      <c r="G7" s="197">
        <v>-80962</v>
      </c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>
        <v>-63788</v>
      </c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16224540</v>
      </c>
      <c r="E8" s="12">
        <f>+E5+E6+E7</f>
        <v>7978399</v>
      </c>
      <c r="F8" s="12">
        <f t="shared" ref="F8:W8" si="1">+F5+F6+F7</f>
        <v>0</v>
      </c>
      <c r="G8" s="12">
        <f t="shared" si="1"/>
        <v>192116</v>
      </c>
      <c r="H8" s="12">
        <f t="shared" si="1"/>
        <v>0</v>
      </c>
      <c r="I8" s="12">
        <f t="shared" si="1"/>
        <v>7028918</v>
      </c>
      <c r="J8" s="12">
        <f t="shared" si="1"/>
        <v>10000</v>
      </c>
      <c r="K8" s="12">
        <f t="shared" si="1"/>
        <v>387025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625428</v>
      </c>
      <c r="U8" s="12">
        <f t="shared" si="1"/>
        <v>0</v>
      </c>
      <c r="V8" s="12">
        <f t="shared" si="1"/>
        <v>2654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16224540</v>
      </c>
      <c r="E9" s="82">
        <f>+'A.2 RASHODI'!E4+'B. RAČUN FIN'!E11</f>
        <v>7978399</v>
      </c>
      <c r="F9" s="82">
        <f>+'A.2 RASHODI'!F4+'B. RAČUN FIN'!F11</f>
        <v>0</v>
      </c>
      <c r="G9" s="82">
        <f>+'A.2 RASHODI'!G4+'B. RAČUN FIN'!G11</f>
        <v>192116</v>
      </c>
      <c r="H9" s="82">
        <f>+'A.2 RASHODI'!H4+'B. RAČUN FIN'!H11</f>
        <v>0</v>
      </c>
      <c r="I9" s="82">
        <f>+'A.2 RASHODI'!I4+'B. RAČUN FIN'!I11</f>
        <v>7028918</v>
      </c>
      <c r="J9" s="82">
        <f>+'A.2 RASHODI'!J4+'B. RAČUN FIN'!J11</f>
        <v>10000</v>
      </c>
      <c r="K9" s="82">
        <f>+'A.2 RASHODI'!K4+'B. RAČUN FIN'!K11</f>
        <v>387025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625428</v>
      </c>
      <c r="U9" s="82">
        <f>+'A.2 RASHODI'!U4+'B. RAČUN FIN'!U11</f>
        <v>0</v>
      </c>
      <c r="V9" s="82">
        <f>+'A.2 RASHODI'!V4+'B. RAČUN FIN'!V11</f>
        <v>2654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144750</v>
      </c>
      <c r="E13" s="131">
        <f t="shared" ref="E13:W13" si="4">-E7</f>
        <v>0</v>
      </c>
      <c r="F13" s="131">
        <f t="shared" si="4"/>
        <v>0</v>
      </c>
      <c r="G13" s="131">
        <f t="shared" si="4"/>
        <v>80962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63788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10479513</v>
      </c>
      <c r="E14" s="12">
        <f>+'A.1 PRIHODI'!E22</f>
        <v>7341049</v>
      </c>
      <c r="F14" s="12">
        <f>+'A.1 PRIHODI'!F22</f>
        <v>0</v>
      </c>
      <c r="G14" s="12">
        <f>+'A.1 PRIHODI'!G22</f>
        <v>347975</v>
      </c>
      <c r="H14" s="12">
        <f>+'A.1 PRIHODI'!H22</f>
        <v>0</v>
      </c>
      <c r="I14" s="12">
        <f>+'A.1 PRIHODI'!I22+'B. RAČUN FIN'!I17</f>
        <v>2558370</v>
      </c>
      <c r="J14" s="12">
        <f>+'A.1 PRIHODI'!J22</f>
        <v>15620</v>
      </c>
      <c r="K14" s="12">
        <f>+'A.1 PRIHODI'!K22</f>
        <v>92935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120910</v>
      </c>
      <c r="U14" s="12">
        <f>+'A.1 PRIHODI'!U22</f>
        <v>0</v>
      </c>
      <c r="V14" s="12">
        <f>+'A.1 PRIHODI'!V22</f>
        <v>2654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-354533</v>
      </c>
      <c r="E15" s="65"/>
      <c r="F15" s="65"/>
      <c r="G15" s="65">
        <f>-190962+20000</f>
        <v>-170962</v>
      </c>
      <c r="H15" s="65"/>
      <c r="I15" s="65"/>
      <c r="J15" s="65"/>
      <c r="K15" s="65">
        <v>-200</v>
      </c>
      <c r="L15" s="65"/>
      <c r="M15" s="3"/>
      <c r="N15" s="65"/>
      <c r="O15" s="65"/>
      <c r="P15" s="65"/>
      <c r="Q15" s="65"/>
      <c r="R15" s="65"/>
      <c r="S15" s="65"/>
      <c r="T15" s="65">
        <v>-183371</v>
      </c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10269730</v>
      </c>
      <c r="E16" s="12">
        <f>+E13+E14+E15</f>
        <v>7341049</v>
      </c>
      <c r="F16" s="12">
        <f t="shared" ref="F16:W16" si="5">+F13+F14+F15</f>
        <v>0</v>
      </c>
      <c r="G16" s="12">
        <f t="shared" si="5"/>
        <v>257975</v>
      </c>
      <c r="H16" s="12">
        <f t="shared" si="5"/>
        <v>0</v>
      </c>
      <c r="I16" s="12">
        <f t="shared" si="5"/>
        <v>2558370</v>
      </c>
      <c r="J16" s="12">
        <f t="shared" si="5"/>
        <v>15620</v>
      </c>
      <c r="K16" s="12">
        <f t="shared" si="5"/>
        <v>92735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1327</v>
      </c>
      <c r="U16" s="12">
        <f t="shared" si="5"/>
        <v>0</v>
      </c>
      <c r="V16" s="12">
        <f t="shared" si="5"/>
        <v>2654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10269730</v>
      </c>
      <c r="E17" s="82">
        <f>+'A.2 RASHODI'!E21+'B. RAČUN FIN'!E22</f>
        <v>7341049</v>
      </c>
      <c r="F17" s="82">
        <f>+'A.2 RASHODI'!F21+'B. RAČUN FIN'!F22</f>
        <v>0</v>
      </c>
      <c r="G17" s="82">
        <f>+'A.2 RASHODI'!G21+'B. RAČUN FIN'!G22</f>
        <v>196845</v>
      </c>
      <c r="H17" s="82">
        <f>+'A.2 RASHODI'!H21+'B. RAČUN FIN'!H22</f>
        <v>0</v>
      </c>
      <c r="I17" s="82">
        <f>+'A.2 RASHODI'!I21+'B. RAČUN FIN'!I22</f>
        <v>2619500</v>
      </c>
      <c r="J17" s="82">
        <f>+'A.2 RASHODI'!J21+'B. RAČUN FIN'!J22</f>
        <v>15620</v>
      </c>
      <c r="K17" s="82">
        <f>+'A.2 RASHODI'!K21+'B. RAČUN FIN'!K22</f>
        <v>92735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1327</v>
      </c>
      <c r="U17" s="82">
        <f>+'A.2 RASHODI'!U21+'B. RAČUN FIN'!U22</f>
        <v>0</v>
      </c>
      <c r="V17" s="82">
        <f>+'A.2 RASHODI'!V21+'B. RAČUN FIN'!V22</f>
        <v>2654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61130</v>
      </c>
      <c r="H18" s="69">
        <f t="shared" si="6"/>
        <v>0</v>
      </c>
      <c r="I18" s="69">
        <f t="shared" si="6"/>
        <v>-61130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354533</v>
      </c>
      <c r="E21" s="131">
        <f t="shared" ref="E21:W21" si="8">-E15</f>
        <v>0</v>
      </c>
      <c r="F21" s="131">
        <f t="shared" si="8"/>
        <v>0</v>
      </c>
      <c r="G21" s="131">
        <f t="shared" si="8"/>
        <v>170962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200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183371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10346355</v>
      </c>
      <c r="E22" s="12">
        <f>+'A.1 PRIHODI'!E36</f>
        <v>7368829</v>
      </c>
      <c r="F22" s="12">
        <f>+'A.1 PRIHODI'!F36</f>
        <v>0</v>
      </c>
      <c r="G22" s="12">
        <f>+'A.1 PRIHODI'!G36</f>
        <v>356845</v>
      </c>
      <c r="H22" s="12">
        <f>+'A.1 PRIHODI'!H36</f>
        <v>0</v>
      </c>
      <c r="I22" s="12">
        <f>+'A.1 PRIHODI'!I36+'B. RAČUN FIN'!I28</f>
        <v>2534870</v>
      </c>
      <c r="J22" s="12">
        <f>+'A.1 PRIHODI'!J36</f>
        <v>1000</v>
      </c>
      <c r="K22" s="12">
        <f>+'A.1 PRIHODI'!K36</f>
        <v>80830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1327</v>
      </c>
      <c r="U22" s="12">
        <f>+'A.1 PRIHODI'!U36</f>
        <v>0</v>
      </c>
      <c r="V22" s="12">
        <f>+'A.1 PRIHODI'!V36</f>
        <v>2654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-514533</v>
      </c>
      <c r="E23" s="65"/>
      <c r="F23" s="65"/>
      <c r="G23" s="65">
        <f>-190962-180000+20000+20000</f>
        <v>-330962</v>
      </c>
      <c r="H23" s="65"/>
      <c r="I23" s="65"/>
      <c r="J23" s="65"/>
      <c r="K23" s="65">
        <v>-200</v>
      </c>
      <c r="L23" s="65"/>
      <c r="M23" s="3"/>
      <c r="N23" s="65"/>
      <c r="O23" s="65"/>
      <c r="P23" s="65"/>
      <c r="Q23" s="65"/>
      <c r="R23" s="65"/>
      <c r="S23" s="65"/>
      <c r="T23" s="65">
        <v>-183371</v>
      </c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10186355</v>
      </c>
      <c r="E24" s="12">
        <f>+E21+E22+E23</f>
        <v>7368829</v>
      </c>
      <c r="F24" s="12">
        <f t="shared" ref="F24:W24" si="9">+F21+F22+F23</f>
        <v>0</v>
      </c>
      <c r="G24" s="12">
        <f t="shared" si="9"/>
        <v>196845</v>
      </c>
      <c r="H24" s="12">
        <f t="shared" si="9"/>
        <v>0</v>
      </c>
      <c r="I24" s="12">
        <f t="shared" si="9"/>
        <v>2534870</v>
      </c>
      <c r="J24" s="12">
        <f t="shared" si="9"/>
        <v>1000</v>
      </c>
      <c r="K24" s="12">
        <f t="shared" si="9"/>
        <v>80830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1327</v>
      </c>
      <c r="U24" s="12">
        <f t="shared" si="9"/>
        <v>0</v>
      </c>
      <c r="V24" s="12">
        <f t="shared" si="9"/>
        <v>2654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10186355</v>
      </c>
      <c r="E25" s="82">
        <f>+'A.2 RASHODI'!E38+'B. RAČUN FIN'!E33</f>
        <v>7368829</v>
      </c>
      <c r="F25" s="82">
        <f>+'A.2 RASHODI'!F38+'B. RAČUN FIN'!F33</f>
        <v>0</v>
      </c>
      <c r="G25" s="82">
        <f>+'A.2 RASHODI'!G38+'B. RAČUN FIN'!G33</f>
        <v>196845</v>
      </c>
      <c r="H25" s="82">
        <f>+'A.2 RASHODI'!H38+'B. RAČUN FIN'!H33</f>
        <v>0</v>
      </c>
      <c r="I25" s="82">
        <f>+'A.2 RASHODI'!I38+'B. RAČUN FIN'!I33</f>
        <v>2534870</v>
      </c>
      <c r="J25" s="82">
        <f>+'A.2 RASHODI'!J38+'B. RAČUN FIN'!J33</f>
        <v>1000</v>
      </c>
      <c r="K25" s="82">
        <f>+'A.2 RASHODI'!K38+'B. RAČUN FIN'!K33</f>
        <v>80830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1327</v>
      </c>
      <c r="U25" s="82">
        <f>+'A.2 RASHODI'!U38+'B. RAČUN FIN'!U33</f>
        <v>0</v>
      </c>
      <c r="V25" s="82">
        <f>+'A.2 RASHODI'!V38+'B. RAČUN FIN'!V33</f>
        <v>2654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8" scale="6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6" t="s">
        <v>5087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2" ht="15.6" customHeight="1"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2" ht="15.6" customHeight="1">
      <c r="B3" s="366" t="s">
        <v>5088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</row>
    <row r="4" spans="1:22" ht="15.6" customHeight="1"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</row>
    <row r="5" spans="1:22" ht="15.6" customHeight="1">
      <c r="B5" s="366" t="s">
        <v>5112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11627093</v>
      </c>
      <c r="E8" s="69">
        <f>+E19+E16</f>
        <v>7978399</v>
      </c>
      <c r="F8" s="69">
        <f>+F19+F16</f>
        <v>0</v>
      </c>
      <c r="G8" s="69">
        <f>+G19+G16</f>
        <v>273078</v>
      </c>
      <c r="H8" s="69">
        <f t="shared" ref="H8:V8" si="0">+H19+H16</f>
        <v>0</v>
      </c>
      <c r="I8" s="69">
        <f t="shared" si="0"/>
        <v>2528370</v>
      </c>
      <c r="J8" s="69">
        <f>+J19+J16</f>
        <v>10000</v>
      </c>
      <c r="K8" s="69">
        <f t="shared" si="0"/>
        <v>145376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689216</v>
      </c>
      <c r="U8" s="69">
        <f t="shared" si="0"/>
        <v>0</v>
      </c>
      <c r="V8" s="69">
        <f t="shared" si="0"/>
        <v>2654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155376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10000</v>
      </c>
      <c r="K10" s="132">
        <f>SUMIFS('Unos prihoda i primitaka'!$G$3:$G$501,'Unos prihoda i primitaka'!$C$3:$C$501,"=52",'Unos prihoda i primitaka'!$L$3:$L$501,"=63")</f>
        <v>145376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2323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2323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2528370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2528370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959971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270755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689216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7978399</v>
      </c>
      <c r="E14" s="132">
        <f>SUMIFS('Unos prihoda i primitaka'!$G$3:$G$501,'Unos prihoda i primitaka'!$C$3:$C$501,"=11",'Unos prihoda i primitaka'!$L$3:$L$501,"=67")</f>
        <v>7978399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11624439</v>
      </c>
      <c r="E16" s="4">
        <f t="shared" ref="E16:V16" si="2">SUM(E9:E15)</f>
        <v>7978399</v>
      </c>
      <c r="F16" s="4">
        <f t="shared" si="2"/>
        <v>0</v>
      </c>
      <c r="G16" s="4">
        <f t="shared" si="2"/>
        <v>273078</v>
      </c>
      <c r="H16" s="4">
        <f t="shared" si="2"/>
        <v>0</v>
      </c>
      <c r="I16" s="4">
        <f t="shared" si="2"/>
        <v>2528370</v>
      </c>
      <c r="J16" s="4">
        <f t="shared" si="2"/>
        <v>10000</v>
      </c>
      <c r="K16" s="4">
        <f t="shared" si="2"/>
        <v>145376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689216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2654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2654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2654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2654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10479513</v>
      </c>
      <c r="E22" s="69">
        <f t="shared" ref="E22:V22" si="4">+E33+E30</f>
        <v>7341049</v>
      </c>
      <c r="F22" s="69">
        <f t="shared" si="4"/>
        <v>0</v>
      </c>
      <c r="G22" s="69">
        <f t="shared" si="4"/>
        <v>347975</v>
      </c>
      <c r="H22" s="69">
        <f t="shared" si="4"/>
        <v>0</v>
      </c>
      <c r="I22" s="69">
        <f t="shared" si="4"/>
        <v>2558370</v>
      </c>
      <c r="J22" s="69">
        <f t="shared" si="4"/>
        <v>15620</v>
      </c>
      <c r="K22" s="69">
        <f t="shared" si="4"/>
        <v>92935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120910</v>
      </c>
      <c r="U22" s="69">
        <f t="shared" si="4"/>
        <v>0</v>
      </c>
      <c r="V22" s="69">
        <f t="shared" si="4"/>
        <v>2654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108555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15620</v>
      </c>
      <c r="K24" s="132">
        <f>SUMIFS('Unos prihoda i primitaka'!$H$3:$H$501,'Unos prihoda i primitaka'!$C$3:$C$501,"=52",'Unos prihoda i primitaka'!$L$3:$L$501,"=63")</f>
        <v>92935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1535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1535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2558370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2558370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467350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346440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120910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7341049</v>
      </c>
      <c r="E28" s="132">
        <f>SUMIFS('Unos prihoda i primitaka'!$H$3:$H$501,'Unos prihoda i primitaka'!$C$3:$C$501,"=11",'Unos prihoda i primitaka'!$L$3:$L$501,"=67")</f>
        <v>7341049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10476859</v>
      </c>
      <c r="E30" s="4">
        <f t="shared" ref="E30:V30" si="6">SUM(E23:E29)</f>
        <v>7341049</v>
      </c>
      <c r="F30" s="4">
        <f t="shared" si="6"/>
        <v>0</v>
      </c>
      <c r="G30" s="4">
        <f t="shared" si="6"/>
        <v>347975</v>
      </c>
      <c r="H30" s="4">
        <f t="shared" si="6"/>
        <v>0</v>
      </c>
      <c r="I30" s="4">
        <f t="shared" si="6"/>
        <v>2558370</v>
      </c>
      <c r="J30" s="4">
        <f t="shared" si="6"/>
        <v>15620</v>
      </c>
      <c r="K30" s="4">
        <f t="shared" si="6"/>
        <v>92935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120910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2654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2654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2654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2654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10346355</v>
      </c>
      <c r="E36" s="69">
        <f t="shared" ref="E36:V36" si="9">+E47+E44</f>
        <v>7368829</v>
      </c>
      <c r="F36" s="69">
        <f t="shared" si="9"/>
        <v>0</v>
      </c>
      <c r="G36" s="69">
        <f t="shared" si="9"/>
        <v>356845</v>
      </c>
      <c r="H36" s="69">
        <f t="shared" si="9"/>
        <v>0</v>
      </c>
      <c r="I36" s="69">
        <f t="shared" si="9"/>
        <v>2534870</v>
      </c>
      <c r="J36" s="69">
        <f t="shared" si="9"/>
        <v>1000</v>
      </c>
      <c r="K36" s="69">
        <f t="shared" si="9"/>
        <v>80830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1327</v>
      </c>
      <c r="U36" s="69">
        <f t="shared" si="9"/>
        <v>0</v>
      </c>
      <c r="V36" s="69">
        <f t="shared" si="9"/>
        <v>2654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81830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1000</v>
      </c>
      <c r="K38" s="132">
        <f>SUMIFS('Unos prihoda i primitaka'!$I$3:$I$501,'Unos prihoda i primitaka'!$C$3:$C$501,"=52",'Unos prihoda i primitaka'!$L$3:$L$501,"=63")</f>
        <v>80830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1535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1535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2534870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2534870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356637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355310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1327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7368829</v>
      </c>
      <c r="E42" s="132">
        <f>SUMIFS('Unos prihoda i primitaka'!$I$3:$I$501,'Unos prihoda i primitaka'!$C$3:$C$501,"=11",'Unos prihoda i primitaka'!$L$3:$L$501,"=67")</f>
        <v>7368829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10343701</v>
      </c>
      <c r="E44" s="4">
        <f t="shared" ref="E44:V44" si="10">SUM(E37:E43)</f>
        <v>7368829</v>
      </c>
      <c r="F44" s="4">
        <f t="shared" si="10"/>
        <v>0</v>
      </c>
      <c r="G44" s="4">
        <f t="shared" si="10"/>
        <v>356845</v>
      </c>
      <c r="H44" s="4">
        <f t="shared" si="10"/>
        <v>0</v>
      </c>
      <c r="I44" s="4">
        <f t="shared" si="10"/>
        <v>2534870</v>
      </c>
      <c r="J44" s="4">
        <f t="shared" si="10"/>
        <v>1000</v>
      </c>
      <c r="K44" s="4">
        <f t="shared" si="10"/>
        <v>80830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1327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2654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2654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2654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2654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8" scale="6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6" t="s">
        <v>5114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16224540</v>
      </c>
      <c r="E4" s="70">
        <f>E5+E13</f>
        <v>7978399</v>
      </c>
      <c r="F4" s="70">
        <f t="shared" ref="F4:W4" si="0">F5+F13</f>
        <v>0</v>
      </c>
      <c r="G4" s="70">
        <f t="shared" si="0"/>
        <v>192116</v>
      </c>
      <c r="H4" s="70">
        <f t="shared" si="0"/>
        <v>0</v>
      </c>
      <c r="I4" s="70">
        <f t="shared" si="0"/>
        <v>7028918</v>
      </c>
      <c r="J4" s="70">
        <f t="shared" si="0"/>
        <v>10000</v>
      </c>
      <c r="K4" s="70">
        <f>K5+K13</f>
        <v>387025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625428</v>
      </c>
      <c r="U4" s="70">
        <f t="shared" si="0"/>
        <v>0</v>
      </c>
      <c r="V4" s="70">
        <f t="shared" si="0"/>
        <v>2654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11642409</v>
      </c>
      <c r="E5" s="78">
        <f t="shared" ref="E5:G5" si="2">SUM(E6:E12)</f>
        <v>7871017</v>
      </c>
      <c r="F5" s="78">
        <f t="shared" si="2"/>
        <v>0</v>
      </c>
      <c r="G5" s="78">
        <f t="shared" si="2"/>
        <v>192116</v>
      </c>
      <c r="H5" s="78">
        <f>SUM(H6:H12)</f>
        <v>0</v>
      </c>
      <c r="I5" s="78">
        <f t="shared" ref="I5:K5" si="3">SUM(I6:I12)</f>
        <v>2578722</v>
      </c>
      <c r="J5" s="78">
        <f t="shared" si="3"/>
        <v>10000</v>
      </c>
      <c r="K5" s="78">
        <f t="shared" si="3"/>
        <v>366453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624101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8590225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6605652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1694550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26928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263095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2925530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1186531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192116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837679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10000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338198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361006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6676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6676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77851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36707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39817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1327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42127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42127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4582131</v>
      </c>
      <c r="E13" s="79">
        <f t="shared" ref="E13:G13" si="6">SUM(E14:E18)</f>
        <v>107382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4450196</v>
      </c>
      <c r="J13" s="79">
        <f t="shared" si="7"/>
        <v>0</v>
      </c>
      <c r="K13" s="79">
        <f t="shared" si="7"/>
        <v>20572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1327</v>
      </c>
      <c r="U13" s="79">
        <f t="shared" si="9"/>
        <v>0</v>
      </c>
      <c r="V13" s="79">
        <f t="shared" si="9"/>
        <v>2654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570152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59169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510983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4011979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48213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3939213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20572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1327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2654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10269730</v>
      </c>
      <c r="E21" s="70">
        <f>+E22+E30</f>
        <v>7341049</v>
      </c>
      <c r="F21" s="70">
        <f t="shared" ref="F21:W21" si="11">+F22+F30</f>
        <v>0</v>
      </c>
      <c r="G21" s="70">
        <f t="shared" si="11"/>
        <v>196845</v>
      </c>
      <c r="H21" s="70">
        <f t="shared" si="11"/>
        <v>0</v>
      </c>
      <c r="I21" s="70">
        <f t="shared" si="11"/>
        <v>2619500</v>
      </c>
      <c r="J21" s="70">
        <f t="shared" si="11"/>
        <v>15620</v>
      </c>
      <c r="K21" s="70">
        <f t="shared" si="11"/>
        <v>92735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1327</v>
      </c>
      <c r="U21" s="70">
        <f t="shared" si="11"/>
        <v>0</v>
      </c>
      <c r="V21" s="70">
        <f t="shared" si="11"/>
        <v>2654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9893726</v>
      </c>
      <c r="E22" s="78">
        <f t="shared" ref="E22:W22" si="12">SUM(E23:E29)</f>
        <v>7233667</v>
      </c>
      <c r="F22" s="78">
        <f t="shared" si="12"/>
        <v>0</v>
      </c>
      <c r="G22" s="78">
        <f t="shared" si="12"/>
        <v>196845</v>
      </c>
      <c r="H22" s="78">
        <f>SUM(H23:H29)</f>
        <v>0</v>
      </c>
      <c r="I22" s="78">
        <f t="shared" si="12"/>
        <v>2360699</v>
      </c>
      <c r="J22" s="78">
        <f t="shared" si="12"/>
        <v>15620</v>
      </c>
      <c r="K22" s="78">
        <f t="shared" si="12"/>
        <v>86895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7689502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6008918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1662002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18582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2078984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1147376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196845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652157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15620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66986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6540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6540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78034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36707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40000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1327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40666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40666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376004</v>
      </c>
      <c r="E30" s="79">
        <f t="shared" ref="E30:G30" si="13">SUM(E31:E35)</f>
        <v>107382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258801</v>
      </c>
      <c r="J30" s="79">
        <f t="shared" si="14"/>
        <v>0</v>
      </c>
      <c r="K30" s="79">
        <f t="shared" si="14"/>
        <v>5840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1327</v>
      </c>
      <c r="U30" s="79">
        <f t="shared" si="16"/>
        <v>0</v>
      </c>
      <c r="V30" s="79">
        <f t="shared" si="16"/>
        <v>2654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72306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59169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13137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303698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48213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245664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5840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1327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2654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10186355</v>
      </c>
      <c r="E38" s="70">
        <f>E39+E47</f>
        <v>7368829</v>
      </c>
      <c r="F38" s="70">
        <f t="shared" ref="F38:W38" si="18">F39+F47</f>
        <v>0</v>
      </c>
      <c r="G38" s="70">
        <f t="shared" si="18"/>
        <v>196845</v>
      </c>
      <c r="H38" s="70">
        <f t="shared" si="18"/>
        <v>0</v>
      </c>
      <c r="I38" s="70">
        <f t="shared" si="18"/>
        <v>2534870</v>
      </c>
      <c r="J38" s="70">
        <f t="shared" si="18"/>
        <v>1000</v>
      </c>
      <c r="K38" s="70">
        <f t="shared" si="18"/>
        <v>80830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1327</v>
      </c>
      <c r="U38" s="70">
        <f t="shared" si="18"/>
        <v>0</v>
      </c>
      <c r="V38" s="70">
        <f t="shared" si="18"/>
        <v>2654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9890181</v>
      </c>
      <c r="E39" s="78">
        <f t="shared" ref="E39:G39" si="19">SUM(E40:E46)</f>
        <v>7261447</v>
      </c>
      <c r="F39" s="78">
        <f t="shared" si="19"/>
        <v>0</v>
      </c>
      <c r="G39" s="78">
        <f t="shared" si="19"/>
        <v>196845</v>
      </c>
      <c r="H39" s="78">
        <f>SUM(H40:H46)</f>
        <v>0</v>
      </c>
      <c r="I39" s="78">
        <f t="shared" ref="I39:K39" si="20">SUM(I40:I46)</f>
        <v>2350059</v>
      </c>
      <c r="J39" s="78">
        <f t="shared" si="20"/>
        <v>1000</v>
      </c>
      <c r="K39" s="78">
        <f t="shared" si="20"/>
        <v>80830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7724182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6036698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1668902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18582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2042086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1147376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196845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634617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1000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62248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6540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6540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76707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36707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40000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40666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40666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296174</v>
      </c>
      <c r="E47" s="79">
        <f t="shared" ref="E47:G47" si="23">SUM(E48:E52)</f>
        <v>107382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184811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1327</v>
      </c>
      <c r="U47" s="79">
        <f t="shared" si="26"/>
        <v>0</v>
      </c>
      <c r="V47" s="79">
        <f t="shared" si="26"/>
        <v>2654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59169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59169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237005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48213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184811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1327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2654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8" scale="60" firstPageNumber="3" fitToHeight="0" orientation="landscape" useFirstPageNumber="1" horizontalDpi="300" verticalDpi="300" r:id="rId1"/>
  <headerFooter alignWithMargins="0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K35"/>
  <sheetViews>
    <sheetView zoomScaleNormal="100"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6" t="s">
        <v>5116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16224540</v>
      </c>
      <c r="D5" s="339">
        <f t="shared" ref="D5:E5" si="0">+D6+D9+D11+D14+D25+D28+D30</f>
        <v>10269730</v>
      </c>
      <c r="E5" s="339">
        <f t="shared" si="0"/>
        <v>10186355</v>
      </c>
    </row>
    <row r="6" spans="1:193">
      <c r="A6" s="312">
        <v>1</v>
      </c>
      <c r="B6" s="67" t="s">
        <v>5131</v>
      </c>
      <c r="C6" s="338">
        <f>+C7+C8</f>
        <v>7978399</v>
      </c>
      <c r="D6" s="338">
        <f t="shared" ref="D6:E6" si="1">+D7+D8</f>
        <v>7341049</v>
      </c>
      <c r="E6" s="338">
        <f t="shared" si="1"/>
        <v>7368829</v>
      </c>
    </row>
    <row r="7" spans="1:193">
      <c r="A7" s="309">
        <v>11</v>
      </c>
      <c r="B7" s="48" t="s">
        <v>5118</v>
      </c>
      <c r="C7" s="337">
        <f>+'A.2 RASHODI'!E4</f>
        <v>7978399</v>
      </c>
      <c r="D7" s="337">
        <f>+'A.2 RASHODI'!E21</f>
        <v>7341049</v>
      </c>
      <c r="E7" s="337">
        <f>+'A.2 RASHODI'!E38</f>
        <v>7368829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192116</v>
      </c>
      <c r="D9" s="338">
        <f t="shared" ref="D9:E9" si="2">+D10</f>
        <v>196845</v>
      </c>
      <c r="E9" s="338">
        <f t="shared" si="2"/>
        <v>196845</v>
      </c>
    </row>
    <row r="10" spans="1:193">
      <c r="A10" s="309">
        <v>31</v>
      </c>
      <c r="B10" s="48" t="s">
        <v>5119</v>
      </c>
      <c r="C10" s="337">
        <f>+'A.2 RASHODI'!G4</f>
        <v>192116</v>
      </c>
      <c r="D10" s="337">
        <f>+'A.2 RASHODI'!G21</f>
        <v>196845</v>
      </c>
      <c r="E10" s="337">
        <f>+'A.2 RASHODI'!G38</f>
        <v>196845</v>
      </c>
    </row>
    <row r="11" spans="1:193">
      <c r="A11" s="312">
        <v>4</v>
      </c>
      <c r="B11" s="67" t="s">
        <v>5133</v>
      </c>
      <c r="C11" s="338">
        <f>+C12+C13</f>
        <v>7028918</v>
      </c>
      <c r="D11" s="338">
        <f t="shared" ref="D11:E11" si="3">+D12+D13</f>
        <v>2619500</v>
      </c>
      <c r="E11" s="338">
        <f t="shared" si="3"/>
        <v>2534870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7028918</v>
      </c>
      <c r="D13" s="337">
        <f>+'A.2 RASHODI'!I21</f>
        <v>2619500</v>
      </c>
      <c r="E13" s="337">
        <f>+'A.2 RASHODI'!I38</f>
        <v>2534870</v>
      </c>
    </row>
    <row r="14" spans="1:193">
      <c r="A14" s="312">
        <v>5</v>
      </c>
      <c r="B14" s="67" t="s">
        <v>5134</v>
      </c>
      <c r="C14" s="338">
        <f>SUM(C15:C24)</f>
        <v>397025</v>
      </c>
      <c r="D14" s="338">
        <f t="shared" ref="D14:E14" si="4">SUM(D15:D24)</f>
        <v>108355</v>
      </c>
      <c r="E14" s="338">
        <f t="shared" si="4"/>
        <v>81830</v>
      </c>
    </row>
    <row r="15" spans="1:193">
      <c r="A15" s="309">
        <v>51</v>
      </c>
      <c r="B15" s="48" t="s">
        <v>5122</v>
      </c>
      <c r="C15" s="337">
        <f>+'A.2 RASHODI'!J4</f>
        <v>10000</v>
      </c>
      <c r="D15" s="337">
        <f>+'A.2 RASHODI'!J21</f>
        <v>15620</v>
      </c>
      <c r="E15" s="337">
        <f>+'A.2 RASHODI'!J38</f>
        <v>1000</v>
      </c>
    </row>
    <row r="16" spans="1:193">
      <c r="A16" s="309">
        <v>52</v>
      </c>
      <c r="B16" s="48" t="s">
        <v>5123</v>
      </c>
      <c r="C16" s="337">
        <f>+'A.2 RASHODI'!K4</f>
        <v>387025</v>
      </c>
      <c r="D16" s="337">
        <f>+'A.2 RASHODI'!K21</f>
        <v>92735</v>
      </c>
      <c r="E16" s="337">
        <f>+'A.2 RASHODI'!K38</f>
        <v>80830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625428</v>
      </c>
      <c r="D25" s="338">
        <f t="shared" ref="D25:E25" si="5">+D26+D27</f>
        <v>1327</v>
      </c>
      <c r="E25" s="338">
        <f t="shared" si="5"/>
        <v>1327</v>
      </c>
    </row>
    <row r="26" spans="1:5">
      <c r="A26" s="309">
        <v>61</v>
      </c>
      <c r="B26" s="48" t="s">
        <v>1684</v>
      </c>
      <c r="C26" s="337">
        <f>+'A.2 RASHODI'!T4</f>
        <v>625428</v>
      </c>
      <c r="D26" s="337">
        <f>+'A.2 RASHODI'!T21</f>
        <v>1327</v>
      </c>
      <c r="E26" s="337">
        <f>+'A.2 RASHODI'!T38</f>
        <v>1327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2654</v>
      </c>
      <c r="D28" s="338">
        <f t="shared" ref="D28:E28" si="6">+D29</f>
        <v>2654</v>
      </c>
      <c r="E28" s="338">
        <f t="shared" si="6"/>
        <v>2654</v>
      </c>
    </row>
    <row r="29" spans="1:5" ht="25.5">
      <c r="A29" s="309">
        <v>71</v>
      </c>
      <c r="B29" s="48" t="s">
        <v>5130</v>
      </c>
      <c r="C29" s="337">
        <f>+'A.2 RASHODI'!V4</f>
        <v>2654</v>
      </c>
      <c r="D29" s="337">
        <f>+'A.2 RASHODI'!V21</f>
        <v>2654</v>
      </c>
      <c r="E29" s="337">
        <f>+'A.2 RASHODI'!V38</f>
        <v>2654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zoomScaleNormal="100" workbookViewId="0">
      <pane xSplit="1" ySplit="4" topLeftCell="B50" activePane="bottomRight" state="frozen"/>
      <selection pane="topRight" activeCell="B1" sqref="B1"/>
      <selection pane="bottomLeft" activeCell="A4" sqref="A4"/>
      <selection pane="bottomRight" activeCell="C70" sqref="C70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6" t="s">
        <v>5141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16211839</v>
      </c>
      <c r="D5" s="70">
        <f t="shared" ref="D5:E5" si="0">+D6+D15+D21+D28+D38+D45+D52+D59+D66+D75</f>
        <v>10254110</v>
      </c>
      <c r="E5" s="70">
        <f t="shared" si="0"/>
        <v>10185355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16211839</v>
      </c>
      <c r="D66" s="345">
        <f>SUM(D67:D74)</f>
        <v>10254110</v>
      </c>
      <c r="E66" s="345">
        <f>SUM(E67:E74)</f>
        <v>10185355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16197106</v>
      </c>
      <c r="D70" s="337">
        <f>SUMIF('Unos rashoda i izdataka'!$R$3:$R$501,'A.4 RASHODI FUNK'!$A70,'Unos rashoda i izdataka'!$K$3:$K$501)+SUMIF('Unos rashoda P4'!$T$3:$T$501,'A.4 RASHODI FUNK'!$A70,'Unos rashoda P4'!$I$3:$I$501)</f>
        <v>10240838</v>
      </c>
      <c r="E70" s="337">
        <f>SUMIF('Unos rashoda i izdataka'!$R$3:$R$501,'A.4 RASHODI FUNK'!$A70,'Unos rashoda i izdataka'!$L$3:$L$501)+SUMIF('Unos rashoda P4'!$T$3:$T$501,'A.4 RASHODI FUNK'!$A70,'Unos rashoda P4'!$J$3:$J$501)</f>
        <v>10172083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14733</v>
      </c>
      <c r="D72" s="337">
        <f>SUMIF('Unos rashoda i izdataka'!$R$3:$R$501,'A.4 RASHODI FUNK'!$A72,'Unos rashoda i izdataka'!$K$3:$K$501)+SUMIF('Unos rashoda P4'!$T$3:$T$501,'A.4 RASHODI FUNK'!$A72,'Unos rashoda P4'!$I$3:$I$501)</f>
        <v>13272</v>
      </c>
      <c r="E72" s="337">
        <f>SUMIF('Unos rashoda i izdataka'!$R$3:$R$501,'A.4 RASHODI FUNK'!$A72,'Unos rashoda i izdataka'!$L$3:$L$501)+SUMIF('Unos rashoda P4'!$T$3:$T$501,'A.4 RASHODI FUNK'!$A72,'Unos rashoda P4'!$J$3:$J$501)</f>
        <v>13272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8" scale="7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mklicek</cp:lastModifiedBy>
  <cp:lastPrinted>2022-12-19T10:21:09Z</cp:lastPrinted>
  <dcterms:created xsi:type="dcterms:W3CDTF">2018-09-10T07:36:17Z</dcterms:created>
  <dcterms:modified xsi:type="dcterms:W3CDTF">2022-12-19T14:46:51Z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